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9" activeTab="21"/>
  </bookViews>
  <sheets>
    <sheet name="Building-cost.net" sheetId="1" r:id="rId1"/>
    <sheet name="House_Est" sheetId="2" r:id="rId2"/>
    <sheet name="Shop_Est" sheetId="3" r:id="rId3"/>
    <sheet name="Dimensions_Calcs" sheetId="4" r:id="rId4"/>
    <sheet name="Struct_Eng" sheetId="5" r:id="rId5"/>
    <sheet name="Flatwork_Calcs" sheetId="6" r:id="rId6"/>
    <sheet name="Framing_Calcs" sheetId="7" r:id="rId7"/>
    <sheet name="Siding" sheetId="8" r:id="rId8"/>
    <sheet name="Roof_Calcs" sheetId="9" r:id="rId9"/>
    <sheet name="Insulation_Calcs" sheetId="10" r:id="rId10"/>
    <sheet name="Finishing_Calcs" sheetId="11" r:id="rId11"/>
    <sheet name="Appliances" sheetId="12" r:id="rId12"/>
    <sheet name="HVAC" sheetId="13" r:id="rId13"/>
    <sheet name="Plumbing" sheetId="14" r:id="rId14"/>
    <sheet name="Septic" sheetId="15" r:id="rId15"/>
    <sheet name="Elec_Calcs" sheetId="16" r:id="rId16"/>
    <sheet name="FireSprinkler" sheetId="17" r:id="rId17"/>
    <sheet name="Heat_Calcs" sheetId="18" r:id="rId18"/>
    <sheet name="Design_Criteria" sheetId="19" r:id="rId19"/>
    <sheet name="Retail_Prices" sheetId="20" r:id="rId20"/>
    <sheet name="Total Budget" sheetId="21" r:id="rId21"/>
    <sheet name="Receipts" sheetId="22" r:id="rId22"/>
  </sheets>
  <definedNames>
    <definedName name="_xlnm.Print_Area" localSheetId="1">'House_Est'!$A$1:$J$124</definedName>
    <definedName name="_xlnm.Print_Area" localSheetId="20">('Total Budget'!$G$23,'Total Budget'!$A$2:$G$19)</definedName>
    <definedName name="LPHit9">'Design_Criteria'!$D$29</definedName>
  </definedNames>
  <calcPr fullCalcOnLoad="1"/>
</workbook>
</file>

<file path=xl/sharedStrings.xml><?xml version="1.0" encoding="utf-8"?>
<sst xmlns="http://schemas.openxmlformats.org/spreadsheetml/2006/main" count="5210" uniqueCount="2281">
  <si>
    <t>Direct Cost Items (Class 4 see below)</t>
  </si>
  <si>
    <t>Class 5 Average Standard</t>
  </si>
  <si>
    <t>Item Name</t>
  </si>
  <si>
    <t>Materials</t>
  </si>
  <si>
    <t>Labor</t>
  </si>
  <si>
    <t>Equipment</t>
  </si>
  <si>
    <t>Total</t>
  </si>
  <si>
    <t>Rate $/HR</t>
  </si>
  <si>
    <t>Labor Hours</t>
  </si>
  <si>
    <t>Weeks</t>
  </si>
  <si>
    <t>Days</t>
  </si>
  <si>
    <t>40hr Weeks</t>
  </si>
  <si>
    <t>8hr Working Days</t>
  </si>
  <si>
    <t>Excavation</t>
  </si>
  <si>
    <t>----</t>
  </si>
  <si>
    <t>Foundation, Piers, Flatwork</t>
  </si>
  <si>
    <t>Insulation</t>
  </si>
  <si>
    <t>Rough Hardware</t>
  </si>
  <si>
    <t>Framing</t>
  </si>
  <si>
    <t>Exterior Finish</t>
  </si>
  <si>
    <t>Exterior Trim</t>
  </si>
  <si>
    <t>Doors</t>
  </si>
  <si>
    <t>Windows</t>
  </si>
  <si>
    <t>Roofing, Soffit, Fascia</t>
  </si>
  <si>
    <t>Finish Carpentry</t>
  </si>
  <si>
    <t>Interior Wall Finish</t>
  </si>
  <si>
    <t>Lighting Fixtures</t>
  </si>
  <si>
    <t>Painting</t>
  </si>
  <si>
    <t>Carpet, Flooring</t>
  </si>
  <si>
    <t>Bath Accessories</t>
  </si>
  <si>
    <t>Shower &amp; Tub Enclosures</t>
  </si>
  <si>
    <t>Plumbing Fixtures</t>
  </si>
  <si>
    <t>Plumbing Rough-in</t>
  </si>
  <si>
    <t>Wiring</t>
  </si>
  <si>
    <t>Built In Appliances</t>
  </si>
  <si>
    <t>Cabinets</t>
  </si>
  <si>
    <t>Countertops</t>
  </si>
  <si>
    <t>Central Heating and Cooling</t>
  </si>
  <si>
    <t>Fire Sprinklers</t>
  </si>
  <si>
    <t>Garage Door</t>
  </si>
  <si>
    <t>Fireplace</t>
  </si>
  <si>
    <t>Subtotal direct job cost</t>
  </si>
  <si>
    <t>Indirect Cost Items</t>
  </si>
  <si>
    <t>Final Cleanup</t>
  </si>
  <si>
    <t>Insurance</t>
  </si>
  <si>
    <t>Permits &amp; Utilities</t>
  </si>
  <si>
    <t>Design &amp; Engineering</t>
  </si>
  <si>
    <t>Subtotal indirect job cost</t>
  </si>
  <si>
    <t>Grand Total</t>
  </si>
  <si>
    <t>Contractor Markup</t>
  </si>
  <si>
    <t>Total cost</t>
  </si>
  <si>
    <t>The insurance replacement estimate of this home is  $649,647</t>
  </si>
  <si>
    <t>The cost to replace this home would be $623,133.
The cost to demolish the home after a total loss would be $26,514.
This is an estimate of the cost to replace the 4,079 square foot single-family residence located at AZ with a building of equal quality, materials, design, layout and workmanship and using methods, techniques and procedures that meet current construction standards. This estimate includes excavation for a foundation on a prepared building pad as required for normal soil condition and utility lines under the building. Costs are current to October, 2017. Replacement is assumed to be done under competitive conditions without significant labor or material shortages.</t>
  </si>
  <si>
    <t>Characteristics of this home include the following.</t>
  </si>
  <si>
    <t xml:space="preserve">The perimeter of the building has 8 corners.
The living area is 4,079 square feet.
The number of stories is 1.
This home was built in 2017 (average age considering all additions).
Attic: 549 square feet of finished attic area with more than 78 inch headroom.
Attic: 1147 square feet of unfinished attic area with more than 78 inch headroom.
Garage: 860 square feet of attached garage under the main building roof, same finish as the home interior.
Porch not under the main roof: 922 square feet of porch with open ceiling, shed roof.
Concrete deck, walk or driveway: 2162 square feet of surface.
Sloping Site: This home is built on sloping ground. The lowest point under the house is 2 feet lower than the highest point.
Central ducted heating and cooling.
1 each freestanding wood-burning heat-circulating prefab metal fireplace.
This home has fire sprinklers.
The quality of this home could be </t>
  </si>
  <si>
    <t>The quality of this home could be summarized as "Class 4, Good Standard."</t>
  </si>
  <si>
    <t xml:space="preserve">Homes of this quality commonly have the following characteristics:
Class 4 foundation and floor. Reinforced concrete or concrete block foundation. Conventional wood frame floor or slab on grade. Change in elevation.
Class 4 frame exterior walls. Several wall offsets or decorative openings. Several changes in wall height.
Class 4 exterior finish. Good stucco or textured siding. Some decorative trim.
Class 4 windows and doors. Good quality windows. Decorative entry door. Good grade interior doors.
Class 4 roof and soffit. Dual pitch roof with better wood shingles or shakes or concrete tile. 2 foot enclosed soffit.
Class 4 interior finish. Textured gypboard or low-cost plaster. Some decorative details or offsets. 9 foot ceilings with spray acoustic texture.
Class 4 floor finish. Masonry or tile at entry. Better sheet vinyl or average carpet elsewhere.
Class 4 bathrooms. Good plastic tub and shower in master bath. One multi-sink bathroom.
Class 4 plumbing and electrical. 3 standard plumbing fixtures per bathroom. Recessed lighting, 6 built-in standard quality appliances.
Class 4 kitchen. 15 LF of low cost wall and base cabinets. Low cost tile or acrylic counter top.
</t>
  </si>
  <si>
    <t>The insurance replacement estimates in this report are based on figures which appear in National Building Cost Manual published by Craftsman Book Company, 6058 Corte del Cedro, Carlsbad, CA 92011, 1-800-829-8123, http://www.craftsman-book.com. The sources and methods used to develop this estimate of replacement value reflect changes in the costs of reconstruction and rebuilding, including changes in labor, materials and supplies and are based on a cost index for the Zip area 863 Prescott, Arizona. Index costs for this area are: +3% for material, -16% for labor and +1% for equipment. This estimate assumes a single home is being replaced.
October 10, 2017</t>
  </si>
  <si>
    <t>House Detailed Construction Budget 8-17-18</t>
  </si>
  <si>
    <t>ITEM NAME</t>
  </si>
  <si>
    <t>MATERIALS</t>
  </si>
  <si>
    <t>LABOR</t>
  </si>
  <si>
    <t>FEES</t>
  </si>
  <si>
    <t>EQUIPMENT</t>
  </si>
  <si>
    <t>TOTAL</t>
  </si>
  <si>
    <t>Man Hours</t>
  </si>
  <si>
    <t>Subtotals</t>
  </si>
  <si>
    <t>Cost to dry in</t>
  </si>
  <si>
    <t>EXCAVATION</t>
  </si>
  <si>
    <t xml:space="preserve">  Pad Grading</t>
  </si>
  <si>
    <t xml:space="preserve">  Footer Excavation</t>
  </si>
  <si>
    <t xml:space="preserve">  Final Grading and Backfill</t>
  </si>
  <si>
    <t xml:space="preserve">  Misc</t>
  </si>
  <si>
    <t>HEAVY EQUIPMENT</t>
  </si>
  <si>
    <t>Crane Rental x1 week</t>
  </si>
  <si>
    <t>FOUNDATION AND FLATWORK</t>
  </si>
  <si>
    <t>FRAMING</t>
  </si>
  <si>
    <t>SIDING</t>
  </si>
  <si>
    <t>ROOF</t>
  </si>
  <si>
    <t>INSULATION</t>
  </si>
  <si>
    <t>FINISHING</t>
  </si>
  <si>
    <t>APPLIANCES BUILT INS</t>
  </si>
  <si>
    <t>HVAC</t>
  </si>
  <si>
    <t>PLUMBING</t>
  </si>
  <si>
    <t>ELECTRIC</t>
  </si>
  <si>
    <t>FIRE SPRINKLERS</t>
  </si>
  <si>
    <t>OUTSOURCES LABOR</t>
  </si>
  <si>
    <t>General help for standing walls, roofing and misc</t>
  </si>
  <si>
    <t xml:space="preserve">    160 hours @ $20/hr</t>
  </si>
  <si>
    <t>Shop Detailed Construction Budget 8-17-18</t>
  </si>
  <si>
    <t>Outsource Labor</t>
  </si>
  <si>
    <t>Fees</t>
  </si>
  <si>
    <t>Shop Dimensions</t>
  </si>
  <si>
    <t>Shop</t>
  </si>
  <si>
    <t>x</t>
  </si>
  <si>
    <t>y</t>
  </si>
  <si>
    <t xml:space="preserve">  Pad Clearing and Footer Excavation</t>
  </si>
  <si>
    <t>Wall ID</t>
  </si>
  <si>
    <t>Length (ft)</t>
  </si>
  <si>
    <t xml:space="preserve">  https://www.versatube.com/design-your-own?id=169501</t>
  </si>
  <si>
    <t>W1</t>
  </si>
  <si>
    <t xml:space="preserve">  Footer Concrete</t>
  </si>
  <si>
    <t>W2</t>
  </si>
  <si>
    <t xml:space="preserve">  Slab Concrete</t>
  </si>
  <si>
    <t>W3</t>
  </si>
  <si>
    <t xml:space="preserve">  Slab/Footer ABC Fill @ 4” Thick</t>
  </si>
  <si>
    <t>W4</t>
  </si>
  <si>
    <t xml:space="preserve">  Footer Rebar</t>
  </si>
  <si>
    <t>L1</t>
  </si>
  <si>
    <t xml:space="preserve">  Slab Rebar</t>
  </si>
  <si>
    <t>L2</t>
  </si>
  <si>
    <t xml:space="preserve">  Insulation Walls</t>
  </si>
  <si>
    <t>L3</t>
  </si>
  <si>
    <t xml:space="preserve">  Insulation Roof</t>
  </si>
  <si>
    <t>L4</t>
  </si>
  <si>
    <t xml:space="preserve">  Insulation Misc</t>
  </si>
  <si>
    <t>Apartment Int Wall Length</t>
  </si>
  <si>
    <t xml:space="preserve">  Two (4) Man Doors</t>
  </si>
  <si>
    <t>Exterior Wall Height (ft)</t>
  </si>
  <si>
    <t xml:space="preserve">  Two (2) 10'x10' Doors</t>
  </si>
  <si>
    <t>Slab Thickness (ft)</t>
  </si>
  <si>
    <t xml:space="preserve">  One (1) 12'x14' Door</t>
  </si>
  <si>
    <t>Slab/Footer Fill Thickness (ft)</t>
  </si>
  <si>
    <t xml:space="preserve">  Six (6) 2'x2' Windows</t>
  </si>
  <si>
    <t>Footer Width (ft)</t>
  </si>
  <si>
    <t xml:space="preserve">  Electrical and Lights</t>
  </si>
  <si>
    <t>Footer Height (ft)</t>
  </si>
  <si>
    <t xml:space="preserve">  General Outsourced Labor</t>
  </si>
  <si>
    <t>Exterior Wall Length (w/o lean to) (ft)</t>
  </si>
  <si>
    <t>Slab Floor Area (ft^2)</t>
  </si>
  <si>
    <t>Insulated Wall Area (ft^2)</t>
  </si>
  <si>
    <t>Insulated Roof Area (ft^2)</t>
  </si>
  <si>
    <t>Insulated Area (ft^2)</t>
  </si>
  <si>
    <t>Footer Concrete Volume (yd^3)</t>
  </si>
  <si>
    <t>Apartment</t>
  </si>
  <si>
    <t>Footer Rebar Length (ft)</t>
  </si>
  <si>
    <t xml:space="preserve">  Apartment: Wall Studs</t>
  </si>
  <si>
    <t>Slab/Footer Fill Volume (ft^3)</t>
  </si>
  <si>
    <t xml:space="preserve">  Top/Bottom Plate</t>
  </si>
  <si>
    <t>Slab Concrete Volume (yd^3)</t>
  </si>
  <si>
    <t xml:space="preserve">  Drywall</t>
  </si>
  <si>
    <t>Slab Rebar length (ft)</t>
  </si>
  <si>
    <r>
      <t xml:space="preserve">  2</t>
    </r>
    <r>
      <rPr>
        <vertAlign val="superscript"/>
        <sz val="10"/>
        <rFont val="Arial"/>
        <family val="2"/>
      </rPr>
      <t>nd</t>
    </r>
    <r>
      <rPr>
        <sz val="10"/>
        <rFont val="Arial"/>
        <family val="2"/>
      </rPr>
      <t xml:space="preserve"> Floor Truss 2x12 @ 24” o.c</t>
    </r>
  </si>
  <si>
    <t>Cost / ft^2</t>
  </si>
  <si>
    <r>
      <t xml:space="preserve">  2</t>
    </r>
    <r>
      <rPr>
        <vertAlign val="superscript"/>
        <sz val="10"/>
        <rFont val="Arial"/>
        <family val="2"/>
      </rPr>
      <t>nd</t>
    </r>
    <r>
      <rPr>
        <sz val="10"/>
        <rFont val="Arial"/>
        <family val="2"/>
      </rPr>
      <t xml:space="preserve"> Floor Plywood Subfloor</t>
    </r>
  </si>
  <si>
    <t xml:space="preserve">  Apartment Stairs</t>
  </si>
  <si>
    <t xml:space="preserve">  Nails &amp; Screws</t>
  </si>
  <si>
    <t xml:space="preserve">  Lighting Fixtures</t>
  </si>
  <si>
    <t xml:space="preserve">  Paint</t>
  </si>
  <si>
    <t xml:space="preserve">  Flooring</t>
  </si>
  <si>
    <t xml:space="preserve">  Bath Accessories</t>
  </si>
  <si>
    <t xml:space="preserve">  Stairs</t>
  </si>
  <si>
    <t xml:space="preserve">  Plumbing Fixtures, Sinks, Toilet, Bath/Shower</t>
  </si>
  <si>
    <t xml:space="preserve">  Plumbing Rough-in</t>
  </si>
  <si>
    <t xml:space="preserve">  Wiring, outlets, lights</t>
  </si>
  <si>
    <t xml:space="preserve">  Built In Appliances</t>
  </si>
  <si>
    <t xml:space="preserve">  Cabinets</t>
  </si>
  <si>
    <t xml:space="preserve">  Countertops</t>
  </si>
  <si>
    <t xml:space="preserve">  Interior Doors</t>
  </si>
  <si>
    <t xml:space="preserve">  3 Zone Mini-Split</t>
  </si>
  <si>
    <t xml:space="preserve">  Sewage Pump</t>
  </si>
  <si>
    <t>Misc</t>
  </si>
  <si>
    <t xml:space="preserve">  Porta Potty Rental During Building</t>
  </si>
  <si>
    <t xml:space="preserve">  Scissor lift rental x2 weeks</t>
  </si>
  <si>
    <t xml:space="preserve">  Other Misc</t>
  </si>
  <si>
    <t>Exterior Walls</t>
  </si>
  <si>
    <t>L5</t>
  </si>
  <si>
    <t>L6</t>
  </si>
  <si>
    <t>L7</t>
  </si>
  <si>
    <t>L8</t>
  </si>
  <si>
    <t>Exterior Wall Length(ft)</t>
  </si>
  <si>
    <t>Total Area (ft^2)</t>
  </si>
  <si>
    <t>Garage Area (ft^2)</t>
  </si>
  <si>
    <t>Finished Area (ft^2)</t>
  </si>
  <si>
    <t>Exterior Wall Area (ft^2)</t>
  </si>
  <si>
    <t>Front Door</t>
  </si>
  <si>
    <t>Baseboard</t>
  </si>
  <si>
    <t>Exterior Doors</t>
  </si>
  <si>
    <t>Door Trim</t>
  </si>
  <si>
    <t>Interior Doors</t>
  </si>
  <si>
    <t>Door Frame</t>
  </si>
  <si>
    <t>Sliding Door</t>
  </si>
  <si>
    <t>Window Large</t>
  </si>
  <si>
    <t>Window Medium</t>
  </si>
  <si>
    <t>Window Small</t>
  </si>
  <si>
    <t>Gross Floor Areas</t>
  </si>
  <si>
    <t>Room</t>
  </si>
  <si>
    <t>Area</t>
  </si>
  <si>
    <t>Percent of Total Conditioned Space</t>
  </si>
  <si>
    <t>BTU Loss</t>
  </si>
  <si>
    <t>Heat BTU</t>
  </si>
  <si>
    <t>Cool BTU</t>
  </si>
  <si>
    <t>Mech. Vent. CFM</t>
  </si>
  <si>
    <t>Master Bed E</t>
  </si>
  <si>
    <t>Master Bed E Bath</t>
  </si>
  <si>
    <t>Bathrooms</t>
  </si>
  <si>
    <t>Master Bed E Closet</t>
  </si>
  <si>
    <t>Vanity Single</t>
  </si>
  <si>
    <t>Master Bed W</t>
  </si>
  <si>
    <t>Vanity Double</t>
  </si>
  <si>
    <t>Master Bed W Bath</t>
  </si>
  <si>
    <t>Vanity Sink Single</t>
  </si>
  <si>
    <t>Bedroom 1</t>
  </si>
  <si>
    <t>Vanity Sink Double</t>
  </si>
  <si>
    <t>Bedroom 2</t>
  </si>
  <si>
    <t>Toilet</t>
  </si>
  <si>
    <t>Bedroom 3</t>
  </si>
  <si>
    <t>Kitchen Sink</t>
  </si>
  <si>
    <t>Study</t>
  </si>
  <si>
    <t>Shower Fixture</t>
  </si>
  <si>
    <t>Bathroom</t>
  </si>
  <si>
    <t>Medicine Cabinet</t>
  </si>
  <si>
    <t>Hallway 1</t>
  </si>
  <si>
    <t>Mirror</t>
  </si>
  <si>
    <t>Hallway 2</t>
  </si>
  <si>
    <t>Bathtub</t>
  </si>
  <si>
    <t>Clothes Washer</t>
  </si>
  <si>
    <t>Dishwasher</t>
  </si>
  <si>
    <t>Living Room</t>
  </si>
  <si>
    <t>Kitchen</t>
  </si>
  <si>
    <t>Dining Room</t>
  </si>
  <si>
    <t>Foyer</t>
  </si>
  <si>
    <t>Master Bath</t>
  </si>
  <si>
    <t>Utility</t>
  </si>
  <si>
    <t>Guest Maser Bath</t>
  </si>
  <si>
    <t>Spare Bath</t>
  </si>
  <si>
    <t>Bedroom Bath</t>
  </si>
  <si>
    <r>
      <t>Total 1</t>
    </r>
    <r>
      <rPr>
        <b/>
        <vertAlign val="superscript"/>
        <sz val="10"/>
        <rFont val="Arial"/>
        <family val="2"/>
      </rPr>
      <t>st</t>
    </r>
    <r>
      <rPr>
        <b/>
        <sz val="10"/>
        <rFont val="Arial"/>
        <family val="2"/>
      </rPr>
      <t xml:space="preserve"> floor</t>
    </r>
  </si>
  <si>
    <t>Laundry Bath</t>
  </si>
  <si>
    <t>Loft (finished)</t>
  </si>
  <si>
    <t>Bonus Room East (unfinished)</t>
  </si>
  <si>
    <t>Laundry Room Sink</t>
  </si>
  <si>
    <t>Bonus Room West (unfinished)</t>
  </si>
  <si>
    <r>
      <t>Total 2</t>
    </r>
    <r>
      <rPr>
        <b/>
        <vertAlign val="superscript"/>
        <sz val="10"/>
        <rFont val="Arial"/>
        <family val="2"/>
      </rPr>
      <t>nd</t>
    </r>
    <r>
      <rPr>
        <b/>
        <sz val="10"/>
        <rFont val="Arial"/>
        <family val="2"/>
      </rPr>
      <t xml:space="preserve"> floor</t>
    </r>
  </si>
  <si>
    <t>Total Finished Floor Area</t>
  </si>
  <si>
    <t>Garage</t>
  </si>
  <si>
    <t>LOT SIZE AND ZONING REQUIREMENTS FOR R1l-70</t>
  </si>
  <si>
    <t>ZONING REQ</t>
  </si>
  <si>
    <t>HOUSE</t>
  </si>
  <si>
    <t>SHOP</t>
  </si>
  <si>
    <t>Total Gross Floor Area w/o Garage</t>
  </si>
  <si>
    <t>PROPOSED BUILDING GROUND AREA (S.F.)</t>
  </si>
  <si>
    <t>-</t>
  </si>
  <si>
    <t>Total Gross Floor Area w/ Garage</t>
  </si>
  <si>
    <t>ACTUAL LOT AREA (S.F.)</t>
  </si>
  <si>
    <t>MIN LOT SIZE (S.F)</t>
  </si>
  <si>
    <t>Total Gross Roof Area w/ Porches and Overhangs</t>
  </si>
  <si>
    <t>MIN AREA PER DWELLING (S.F.)</t>
  </si>
  <si>
    <t>MIN LOT WIDTH AND DEPTH (FT)</t>
  </si>
  <si>
    <t>MIN YARD SETBACK FRONT (FT)</t>
  </si>
  <si>
    <t>MIN YARD SETBACK REAR (FT)</t>
  </si>
  <si>
    <t>MIN YARD SETBACK INTERIOR (FT)</t>
  </si>
  <si>
    <t>MIN YARD SETBACK EXTERIOR (FT)</t>
  </si>
  <si>
    <t>MAX BUILDING HEIGHT STORIES</t>
  </si>
  <si>
    <t>MAX BUILDING HEIGHT (FT)</t>
  </si>
  <si>
    <t>MAX LOT COVERED (5)</t>
  </si>
  <si>
    <t>MIN BUILDING SPACING (FT)</t>
  </si>
  <si>
    <t>connection</t>
  </si>
  <si>
    <t>fastening</t>
  </si>
  <si>
    <t>location</t>
  </si>
  <si>
    <t>joist to sill or girder</t>
  </si>
  <si>
    <t>3-8d</t>
  </si>
  <si>
    <t>toenail</t>
  </si>
  <si>
    <t>bridging to joist</t>
  </si>
  <si>
    <t>2-8d</t>
  </si>
  <si>
    <t>toenail each end</t>
  </si>
  <si>
    <t>sole plate to joist or blocking</t>
  </si>
  <si>
    <t>16d at 16” o.c.</t>
  </si>
  <si>
    <t>typical face nail</t>
  </si>
  <si>
    <t>sole plate to joist or blocking at braced wall panel</t>
  </si>
  <si>
    <t>3-16d at 16” o.c.</t>
  </si>
  <si>
    <t>braced wall panel</t>
  </si>
  <si>
    <t>top plate to stud</t>
  </si>
  <si>
    <t>2-16d</t>
  </si>
  <si>
    <t>end nail</t>
  </si>
  <si>
    <t>stud to sole plate</t>
  </si>
  <si>
    <t>4-8d / 2-16d</t>
  </si>
  <si>
    <t>toenail / end nail</t>
  </si>
  <si>
    <t>double studs</t>
  </si>
  <si>
    <t>16d at 24” o.c.</t>
  </si>
  <si>
    <t>face nail</t>
  </si>
  <si>
    <t>double top plates</t>
  </si>
  <si>
    <t>double top plates 24” offset of end joints</t>
  </si>
  <si>
    <t>8-16d</t>
  </si>
  <si>
    <t>face nail in lapped area</t>
  </si>
  <si>
    <t>blocking between joists or rafters to top plate</t>
  </si>
  <si>
    <t>rim joist to top plate</t>
  </si>
  <si>
    <t>8d at 6” o.c.</t>
  </si>
  <si>
    <t>top plate, laps, corners and intersections</t>
  </si>
  <si>
    <t>continuous header, two pieces</t>
  </si>
  <si>
    <t>16d</t>
  </si>
  <si>
    <t>16” o.c. along edge</t>
  </si>
  <si>
    <t>continuous header to stud</t>
  </si>
  <si>
    <t>4-8d</t>
  </si>
  <si>
    <t>rafter to plate</t>
  </si>
  <si>
    <t>built-up corner studs</t>
  </si>
  <si>
    <t>24” o.c.</t>
  </si>
  <si>
    <t>built-up girder and beams</t>
  </si>
  <si>
    <t>20d 32” o.c. &amp; 2-20d</t>
  </si>
  <si>
    <t>face nail 32” o.c. staggered &amp; face nail at ends and splices</t>
  </si>
  <si>
    <t>joist to band joist</t>
  </si>
  <si>
    <t>3-16d</t>
  </si>
  <si>
    <t>BEAM SCHEDULE</t>
  </si>
  <si>
    <t>COLUMN FOOTING LOCATIONS</t>
  </si>
  <si>
    <t>member</t>
  </si>
  <si>
    <t>bearing</t>
  </si>
  <si>
    <t>span</t>
  </si>
  <si>
    <t>length</t>
  </si>
  <si>
    <t>attachment</t>
  </si>
  <si>
    <t>notes</t>
  </si>
  <si>
    <t>Xdim</t>
  </si>
  <si>
    <t>Ydim</t>
  </si>
  <si>
    <t>footing</t>
  </si>
  <si>
    <t>B1</t>
  </si>
  <si>
    <t>4-1 3/4" x 16" lvl</t>
  </si>
  <si>
    <t>4 1/2”, 6”</t>
  </si>
  <si>
    <t>18'-0"</t>
  </si>
  <si>
    <t>18'-10 1/2”</t>
  </si>
  <si>
    <t>see detail 29, 5-8d toe nail top plate</t>
  </si>
  <si>
    <t>garage header</t>
  </si>
  <si>
    <t>C1</t>
  </si>
  <si>
    <t>0'-7 7/16”</t>
  </si>
  <si>
    <t>-57'-3"</t>
  </si>
  <si>
    <t>PFP</t>
  </si>
  <si>
    <t>B2</t>
  </si>
  <si>
    <t>5 1/2”, 6”</t>
  </si>
  <si>
    <t>23'-4 1/8"</t>
  </si>
  <si>
    <t>24'-3 5/8"</t>
  </si>
  <si>
    <t>5-8d toe nail top plate each side</t>
  </si>
  <si>
    <t>garage attic floor beam</t>
  </si>
  <si>
    <t>C2</t>
  </si>
  <si>
    <t>34'-4 9/16”</t>
  </si>
  <si>
    <t>B3</t>
  </si>
  <si>
    <t>3 1/8" x 12" df 24f-v4 glulam</t>
  </si>
  <si>
    <t>5 1/2”, 2 1/2”</t>
  </si>
  <si>
    <t>20'-0 3/4"</t>
  </si>
  <si>
    <t>20'-6 1/4"</t>
  </si>
  <si>
    <t>5-8d toe nail top plate, HUC3.25/12</t>
  </si>
  <si>
    <t>loft wrap-around floor</t>
  </si>
  <si>
    <t>C3</t>
  </si>
  <si>
    <t>64'-7 7/16”</t>
  </si>
  <si>
    <t>B4</t>
  </si>
  <si>
    <t>10”, 2 1/2”</t>
  </si>
  <si>
    <t>19'-7"</t>
  </si>
  <si>
    <t>19'-5"</t>
  </si>
  <si>
    <t>5-8d toe nail top plate, HUC3.25/12 22 deg</t>
  </si>
  <si>
    <t>C4</t>
  </si>
  <si>
    <t>95'-4 9/16”</t>
  </si>
  <si>
    <t>B5</t>
  </si>
  <si>
    <t>3 1/2" x 21" df 24f-v4 glulam</t>
  </si>
  <si>
    <t>5 1/2”, 5 1/2”</t>
  </si>
  <si>
    <t>25' 6 1/8"</t>
  </si>
  <si>
    <t>26' 5 1/16"</t>
  </si>
  <si>
    <t>5-8d toe nail top plate, 1212HLPC</t>
  </si>
  <si>
    <t>loft floor beam</t>
  </si>
  <si>
    <t>C5</t>
  </si>
  <si>
    <t>31'-10 1/4”</t>
  </si>
  <si>
    <t>-40'-3 9/16"</t>
  </si>
  <si>
    <t>CF</t>
  </si>
  <si>
    <t>B6</t>
  </si>
  <si>
    <t>2-1 3/4” x 11 7/8” lvl</t>
  </si>
  <si>
    <t>4 1/5”, 4 1/2”</t>
  </si>
  <si>
    <t>3'2 1/2”</t>
  </si>
  <si>
    <t>3'-11 1/2”</t>
  </si>
  <si>
    <t>see detail 16</t>
  </si>
  <si>
    <t>front door header</t>
  </si>
  <si>
    <t>C6</t>
  </si>
  <si>
    <t>64'-1 3/4”</t>
  </si>
  <si>
    <t>B7abcd</t>
  </si>
  <si>
    <t>6x8 rough sawn df</t>
  </si>
  <si>
    <t>2 1/2”, 5 1/2”</t>
  </si>
  <si>
    <t>5'-3”</t>
  </si>
  <si>
    <t>5'-9 7/16”</t>
  </si>
  <si>
    <t>see detail 30</t>
  </si>
  <si>
    <t>back porch overhangs</t>
  </si>
  <si>
    <t>C7</t>
  </si>
  <si>
    <t>30'-5 11/16”</t>
  </si>
  <si>
    <t>-35'-8 11/16"</t>
  </si>
  <si>
    <t>B8</t>
  </si>
  <si>
    <t>2-1 3/4" x 11 7/8” lvl</t>
  </si>
  <si>
    <t>2”, 2”</t>
  </si>
  <si>
    <t>17'-2 7/16”</t>
  </si>
  <si>
    <t>24' approx</t>
  </si>
  <si>
    <t>see detail 19, Simpson U410</t>
  </si>
  <si>
    <t>back porch fascia beam</t>
  </si>
  <si>
    <t>C8</t>
  </si>
  <si>
    <t>48'-0”</t>
  </si>
  <si>
    <t>-35'-10 3/8"</t>
  </si>
  <si>
    <t>B9a</t>
  </si>
  <si>
    <t>5 1/2” x 16” df 24f-v4 glulam</t>
  </si>
  <si>
    <t>10”, 10”</t>
  </si>
  <si>
    <t>32'-0 7/8”</t>
  </si>
  <si>
    <t>33'-8”</t>
  </si>
  <si>
    <t>see detail L1</t>
  </si>
  <si>
    <t>porch truss bottom</t>
  </si>
  <si>
    <t>C9</t>
  </si>
  <si>
    <t>65-6 5/16”</t>
  </si>
  <si>
    <t>B9b</t>
  </si>
  <si>
    <t>1' 5 9/16”, 2”</t>
  </si>
  <si>
    <t>15'-3 1/8”</t>
  </si>
  <si>
    <t>21'*</t>
  </si>
  <si>
    <t>porch truss top 1</t>
  </si>
  <si>
    <t>C10</t>
  </si>
  <si>
    <t>0'-3 3/16”</t>
  </si>
  <si>
    <t>-18'-0"</t>
  </si>
  <si>
    <t>n/a</t>
  </si>
  <si>
    <t>B9c</t>
  </si>
  <si>
    <t>porch truss top 2</t>
  </si>
  <si>
    <t>C10a</t>
  </si>
  <si>
    <t>-23'0 1/8"</t>
  </si>
  <si>
    <t>B9d</t>
  </si>
  <si>
    <t>5 1/2” x 5 1/2” df</t>
  </si>
  <si>
    <t>3 1/2”, 3 1/2”</t>
  </si>
  <si>
    <t>na</t>
  </si>
  <si>
    <t>10'-1 1/2”</t>
  </si>
  <si>
    <t>porch truss center post</t>
  </si>
  <si>
    <t>C10b</t>
  </si>
  <si>
    <t>-3'-0"</t>
  </si>
  <si>
    <t>B10</t>
  </si>
  <si>
    <t>omitted</t>
  </si>
  <si>
    <t>C11</t>
  </si>
  <si>
    <t>23'-11 5/8”</t>
  </si>
  <si>
    <t>B11a</t>
  </si>
  <si>
    <t>2-1 3/4" x 16" lvl</t>
  </si>
  <si>
    <t>5 1/2”, 10” / 2”</t>
  </si>
  <si>
    <t>6'-11”,4'1 1/4”,17'-1 9/16”</t>
  </si>
  <si>
    <t>29'-5 1/4”</t>
  </si>
  <si>
    <t>see structural beam plan</t>
  </si>
  <si>
    <t>cross ridge beam 1</t>
  </si>
  <si>
    <t>C12</t>
  </si>
  <si>
    <t>54'-0 3/16”</t>
  </si>
  <si>
    <t>B11b</t>
  </si>
  <si>
    <t>2”, 10”</t>
  </si>
  <si>
    <t>17'-1 9/16”, 2'-0”</t>
  </si>
  <si>
    <t>20'-0”</t>
  </si>
  <si>
    <t>cross ridge beam 2</t>
  </si>
  <si>
    <t>C13</t>
  </si>
  <si>
    <t>65'-2 1/8”</t>
  </si>
  <si>
    <t>B12abcd</t>
  </si>
  <si>
    <t>3-1 3/4" x 16" lvl</t>
  </si>
  <si>
    <t>5 1/2”, 2”</t>
  </si>
  <si>
    <t>24'-5 3/16”</t>
  </si>
  <si>
    <t>30'*</t>
  </si>
  <si>
    <t>valley beams</t>
  </si>
  <si>
    <t>C14</t>
  </si>
  <si>
    <t>95'-6 1/8”</t>
  </si>
  <si>
    <t>B13</t>
  </si>
  <si>
    <t>5.5"x24" df 24f-v4 glulam</t>
  </si>
  <si>
    <t>5 1/2”, 3”</t>
  </si>
  <si>
    <t>23' 3 1/8”</t>
  </si>
  <si>
    <t>23' 11 5/8”</t>
  </si>
  <si>
    <t>ridge drop beam attic west</t>
  </si>
  <si>
    <t>C15</t>
  </si>
  <si>
    <t>24'-0 1/4”</t>
  </si>
  <si>
    <t>-15'-2 13/16"</t>
  </si>
  <si>
    <t>B14</t>
  </si>
  <si>
    <t>6.75"x24" df 24f-v4 glulam</t>
  </si>
  <si>
    <t>4”, 5”</t>
  </si>
  <si>
    <t>29'-4 5/8”</t>
  </si>
  <si>
    <t>30'-1 5/8”</t>
  </si>
  <si>
    <t>ridge drop beam loft 1</t>
  </si>
  <si>
    <t>C16</t>
  </si>
  <si>
    <t>50'-0 5/8”</t>
  </si>
  <si>
    <t>-15'-2 5/16"</t>
  </si>
  <si>
    <t>PF</t>
  </si>
  <si>
    <t>B15</t>
  </si>
  <si>
    <t>2”, 3”</t>
  </si>
  <si>
    <t>10'-7 7/16”</t>
  </si>
  <si>
    <t>11'-0 7/16”</t>
  </si>
  <si>
    <t>ridge drop beam loft 2</t>
  </si>
  <si>
    <t>C17</t>
  </si>
  <si>
    <t>53'-11 3/4”</t>
  </si>
  <si>
    <t>-13'-6 13/16"</t>
  </si>
  <si>
    <t>B16</t>
  </si>
  <si>
    <t>4”, 5 1/2”</t>
  </si>
  <si>
    <t>29'-9 15/16”</t>
  </si>
  <si>
    <t>30-9 7/16”</t>
  </si>
  <si>
    <t>ridge drop beam attic east</t>
  </si>
  <si>
    <t>C18</t>
  </si>
  <si>
    <t>30'-5 13/16”</t>
  </si>
  <si>
    <t>-0'-1 3/4"</t>
  </si>
  <si>
    <t>B17ab</t>
  </si>
  <si>
    <t>2”, 3” miter</t>
  </si>
  <si>
    <t>6'-4”</t>
  </si>
  <si>
    <t>7'-0”</t>
  </si>
  <si>
    <t>front porch roof</t>
  </si>
  <si>
    <t>C19</t>
  </si>
  <si>
    <t>B18</t>
  </si>
  <si>
    <t>3”, 3” 45 miter</t>
  </si>
  <si>
    <t>8'-8”</t>
  </si>
  <si>
    <t>9'-5”</t>
  </si>
  <si>
    <t>C19a</t>
  </si>
  <si>
    <t>46'-1 1/2”</t>
  </si>
  <si>
    <t>C19b</t>
  </si>
  <si>
    <t>49'-9 5/8”</t>
  </si>
  <si>
    <t>C20</t>
  </si>
  <si>
    <t>65'-6 3/16”</t>
  </si>
  <si>
    <t>C21</t>
  </si>
  <si>
    <t>34'-3”</t>
  </si>
  <si>
    <t>6'-9”</t>
  </si>
  <si>
    <t>C22</t>
  </si>
  <si>
    <t>43'-5”</t>
  </si>
  <si>
    <t>C23</t>
  </si>
  <si>
    <t>52'-7”</t>
  </si>
  <si>
    <t>C24</t>
  </si>
  <si>
    <t>61'-9”</t>
  </si>
  <si>
    <t>C1-C4</t>
  </si>
  <si>
    <t>6x6 Post DF #2</t>
  </si>
  <si>
    <t>see detail 6 &amp; 30</t>
  </si>
  <si>
    <t>C5,C6</t>
  </si>
  <si>
    <t>4-2x4 DF #2</t>
  </si>
  <si>
    <t>see detail 28 &amp; 19</t>
  </si>
  <si>
    <t>C7,C9,C18,C20</t>
  </si>
  <si>
    <t>see detail 28 &amp; 18</t>
  </si>
  <si>
    <t>C8,C19</t>
  </si>
  <si>
    <t>see detail 28, 27, 21, 25</t>
  </si>
  <si>
    <t>see detail 29</t>
  </si>
  <si>
    <t>3-2x6 Post DF #2</t>
  </si>
  <si>
    <t>see detail 29 &amp; 27</t>
  </si>
  <si>
    <t>7x7 paralam</t>
  </si>
  <si>
    <t>see detail 32, Simpson CC78 Column Cap</t>
  </si>
  <si>
    <t>4-2x6 Post DF #2</t>
  </si>
  <si>
    <t>see detail 32</t>
  </si>
  <si>
    <t>4-2x4 Post DF #2</t>
  </si>
  <si>
    <t>see detail 28, 27, 21</t>
  </si>
  <si>
    <t>C15,C17</t>
  </si>
  <si>
    <t>3-2x4 Post DF #2</t>
  </si>
  <si>
    <t>5-8d toenail / 5-8d toenail</t>
  </si>
  <si>
    <t>see detail 32 / 1212HLPC</t>
  </si>
  <si>
    <t>C21-24</t>
  </si>
  <si>
    <t>see detail 5 / Simpson PC6Z Post Cap</t>
  </si>
  <si>
    <t>Test Scenarios</t>
  </si>
  <si>
    <t>Flatwork Budget Calcs</t>
  </si>
  <si>
    <t>Category</t>
  </si>
  <si>
    <t>Cost</t>
  </si>
  <si>
    <t>2'X10' #2 Doug Fir</t>
  </si>
  <si>
    <t>Pricing</t>
  </si>
  <si>
    <t>Floor Level 1: Subfloor</t>
  </si>
  <si>
    <t>Full Span (ft)</t>
  </si>
  <si>
    <t>Joist length (ft)</t>
  </si>
  <si>
    <t>Foxworth Glabrath</t>
  </si>
  <si>
    <t>Rooms</t>
  </si>
  <si>
    <t>Material</t>
  </si>
  <si>
    <t>Size</t>
  </si>
  <si>
    <t>Area (ft^2)</t>
  </si>
  <si>
    <t>Price/ft^2</t>
  </si>
  <si>
    <t>Joist $/ft</t>
  </si>
  <si>
    <t>928-445-2525</t>
  </si>
  <si>
    <t>Main</t>
  </si>
  <si>
    <t>7/8” T&amp;G Plywood</t>
  </si>
  <si>
    <t>73'x36'</t>
  </si>
  <si>
    <t>OC (ft)</t>
  </si>
  <si>
    <t>Joist Material $</t>
  </si>
  <si>
    <t>talked to Tony on 2/10/17</t>
  </si>
  <si>
    <t>Master Bd 1</t>
  </si>
  <si>
    <t>16'x36'</t>
  </si>
  <si>
    <t># girders</t>
  </si>
  <si>
    <t>carries Boise Cascade TJIs</t>
  </si>
  <si>
    <t>Master Bd 2</t>
  </si>
  <si>
    <t># joists deep</t>
  </si>
  <si>
    <t>Joist</t>
  </si>
  <si>
    <t>$/ft</t>
  </si>
  <si>
    <t># joists across</t>
  </si>
  <si>
    <t>2x10</t>
  </si>
  <si>
    <t>$20.74/16'</t>
  </si>
  <si>
    <t>Floor Level 2: Subfloor</t>
  </si>
  <si>
    <t>Joist Span (ft)</t>
  </si>
  <si>
    <t>2x12</t>
  </si>
  <si>
    <t># joist total</t>
  </si>
  <si>
    <t>9 ½ TJI</t>
  </si>
  <si>
    <t>Loft Main</t>
  </si>
  <si>
    <t>15.5'x42'</t>
  </si>
  <si>
    <t>11 7/8 TJI</t>
  </si>
  <si>
    <t>Loft Side 1</t>
  </si>
  <si>
    <t>4'x20'</t>
  </si>
  <si>
    <t>Loft Side 2</t>
  </si>
  <si>
    <t>East Bonus Rm</t>
  </si>
  <si>
    <t>West Bonus Rm</t>
  </si>
  <si>
    <t>9 1/2” TJI</t>
  </si>
  <si>
    <t>www.menards.com</t>
  </si>
  <si>
    <t>Floor Level 1: Joists</t>
  </si>
  <si>
    <t>Row</t>
  </si>
  <si>
    <t># each</t>
  </si>
  <si>
    <t>Price/ft</t>
  </si>
  <si>
    <t>J1A</t>
  </si>
  <si>
    <t>11-7/8” TJI 360</t>
  </si>
  <si>
    <t>J2B</t>
  </si>
  <si>
    <t>J3</t>
  </si>
  <si>
    <t>ft^2</t>
  </si>
  <si>
    <t>$/ft^2</t>
  </si>
  <si>
    <t>Floor Level 2: Joists</t>
  </si>
  <si>
    <t>$23.84/16'</t>
  </si>
  <si>
    <t>J4</t>
  </si>
  <si>
    <t>3x12 rough sawn #2 df</t>
  </si>
  <si>
    <t>J5A</t>
  </si>
  <si>
    <t>J5B</t>
  </si>
  <si>
    <t>11−7/8" TJI 110</t>
  </si>
  <si>
    <t>J6</t>
  </si>
  <si>
    <t>11 7/8” TJI</t>
  </si>
  <si>
    <t>J7</t>
  </si>
  <si>
    <t>J8</t>
  </si>
  <si>
    <t>Floor Level 2: Beams</t>
  </si>
  <si>
    <t>5 1/2" x 16 1/2" glulam, 22' 10"</t>
  </si>
  <si>
    <t>3 1/2" x 21" glulam, 25' 5 1/2" span</t>
  </si>
  <si>
    <t>Floor Level 2: Hardware</t>
  </si>
  <si>
    <t>Joists</t>
  </si>
  <si>
    <t>Item</t>
  </si>
  <si>
    <t>#</t>
  </si>
  <si>
    <t>Price/ea</t>
  </si>
  <si>
    <t>Simpson IUS1.81/11.8</t>
  </si>
  <si>
    <t>J5</t>
  </si>
  <si>
    <r>
      <t xml:space="preserve">Simpson </t>
    </r>
    <r>
      <rPr>
        <sz val="10"/>
        <color indexed="63"/>
        <rFont val="Arial"/>
        <family val="2"/>
      </rPr>
      <t>U210R</t>
    </r>
  </si>
  <si>
    <t>Floor Level 1: Cripple Wall</t>
  </si>
  <si>
    <t>Length</t>
  </si>
  <si>
    <t># ft</t>
  </si>
  <si>
    <t>2x4</t>
  </si>
  <si>
    <t>Floor Level 1/2: Rim Board, Blocking, Bracing, &amp; Sill Plate</t>
  </si>
  <si>
    <t>Rim board</t>
  </si>
  <si>
    <t>1.125x11 7/8</t>
  </si>
  <si>
    <t>Blocking</t>
  </si>
  <si>
    <t>Sill Plate(s)</t>
  </si>
  <si>
    <t>2x4 (treated)</t>
  </si>
  <si>
    <t>2x6 (treated)</t>
  </si>
  <si>
    <t>Bracing</t>
  </si>
  <si>
    <r>
      <t>2</t>
    </r>
    <r>
      <rPr>
        <vertAlign val="superscript"/>
        <sz val="10"/>
        <rFont val="Arial"/>
        <family val="2"/>
      </rPr>
      <t>nd</t>
    </r>
    <r>
      <rPr>
        <sz val="10"/>
        <rFont val="Arial"/>
        <family val="2"/>
      </rPr>
      <t xml:space="preserve"> Floor Blocking</t>
    </r>
  </si>
  <si>
    <t>Floor Level 1: Stem Walls</t>
  </si>
  <si>
    <t>Price/#</t>
  </si>
  <si>
    <t>Stem Wall Block</t>
  </si>
  <si>
    <t>8x8x16 CMU</t>
  </si>
  <si>
    <t>Concrete Fill</t>
  </si>
  <si>
    <t>Concrete</t>
  </si>
  <si>
    <t>Bond Beam</t>
  </si>
  <si>
    <t>#4 Rebar</t>
  </si>
  <si>
    <t>Vertical Rebar</t>
  </si>
  <si>
    <t>Surface Bonding C</t>
  </si>
  <si>
    <t>Quickwall</t>
  </si>
  <si>
    <t>Floor Level 1: Garage Slab</t>
  </si>
  <si>
    <t>Thickness</t>
  </si>
  <si>
    <t># yd^3 / ft^3</t>
  </si>
  <si>
    <t>Price/unit</t>
  </si>
  <si>
    <t>Int Pad Concrete</t>
  </si>
  <si>
    <t>Ext Pad Concrete</t>
  </si>
  <si>
    <t>ABC Fill</t>
  </si>
  <si>
    <t>Int Pad Rebar</t>
  </si>
  <si>
    <t>#4 Rebar 24” o.c. units in length →</t>
  </si>
  <si>
    <t>Ext Pad Rebar</t>
  </si>
  <si>
    <t>Porches Slab / Deck</t>
  </si>
  <si>
    <t># yd^3</t>
  </si>
  <si>
    <t>Front Deck Lumber</t>
  </si>
  <si>
    <t>Rear Patio Concrete</t>
  </si>
  <si>
    <t>Front Patio Rebar</t>
  </si>
  <si>
    <t>Back Patio Rebar</t>
  </si>
  <si>
    <t>Floor Level 1: Footer</t>
  </si>
  <si>
    <t>CS Size (ft^2)</t>
  </si>
  <si>
    <t># yd^3 /ft^3 / ft</t>
  </si>
  <si>
    <t>Price/yd^3</t>
  </si>
  <si>
    <t>Grade 40 Rebar</t>
  </si>
  <si>
    <t>Ext Walls Conc.</t>
  </si>
  <si>
    <t>Ext Wall Footer Rebar</t>
  </si>
  <si>
    <t>Int Walls (garage) Conc.</t>
  </si>
  <si>
    <t>Int Wall Footer Rebar</t>
  </si>
  <si>
    <t>Footer ABC Fill</t>
  </si>
  <si>
    <t>Bond Beam Rebar</t>
  </si>
  <si>
    <t>Ext Wall Rebar</t>
  </si>
  <si>
    <t>#4 Rebar units in length →</t>
  </si>
  <si>
    <t>Int Wall Rebar</t>
  </si>
  <si>
    <t>Cross Rebar</t>
  </si>
  <si>
    <t>Hardware</t>
  </si>
  <si>
    <t>Total #4 Rebar</t>
  </si>
  <si>
    <t>J-Bolts</t>
  </si>
  <si>
    <t>10d nails</t>
  </si>
  <si>
    <t xml:space="preserve">   </t>
  </si>
  <si>
    <t>Sub Floor Glue</t>
  </si>
  <si>
    <t>Sub Floor Nails</t>
  </si>
  <si>
    <t>6d ring or screw shank, or 8d common</t>
  </si>
  <si>
    <t>Hold Downs</t>
  </si>
  <si>
    <t>Sheer Wall Hold Downs</t>
  </si>
  <si>
    <t>Crawlspace</t>
  </si>
  <si>
    <t>Vapor Barrier</t>
  </si>
  <si>
    <t>Class 1 Vapor Retarder</t>
  </si>
  <si>
    <t>Vapor Barrier Tape</t>
  </si>
  <si>
    <t>Mech Ventilator</t>
  </si>
  <si>
    <t>Crawl Space Ventilator</t>
  </si>
  <si>
    <t>Framing Calcs</t>
  </si>
  <si>
    <t>Exterior Wall Framing</t>
  </si>
  <si>
    <t>Wall L. (ft)</t>
  </si>
  <si>
    <t>Board L. (ft)</t>
  </si>
  <si>
    <t># / ft</t>
  </si>
  <si>
    <t>Price/each</t>
  </si>
  <si>
    <t>2x4 Stud</t>
  </si>
  <si>
    <t>2x4 T/B Plate</t>
  </si>
  <si>
    <t>2x4 King Stud</t>
  </si>
  <si>
    <t>2x4 Cripple Stud</t>
  </si>
  <si>
    <t>2x8 Header</t>
  </si>
  <si>
    <t>2x10 Header</t>
  </si>
  <si>
    <t>2x12 Header</t>
  </si>
  <si>
    <t>2x6 Stud</t>
  </si>
  <si>
    <t>2x6 T/B Plate</t>
  </si>
  <si>
    <t>Ply Fire Block</t>
  </si>
  <si>
    <t>Nails</t>
  </si>
  <si>
    <t>Calking/Sealing Foam</t>
  </si>
  <si>
    <t>Exterior Wall Sheathing</t>
  </si>
  <si>
    <t>ft per 4x8sheet</t>
  </si>
  <si>
    <t># Sheets</t>
  </si>
  <si>
    <t>19/32 Ply</t>
  </si>
  <si>
    <t>Interior Wall Framing</t>
  </si>
  <si>
    <t>Wall L. (ft) / # op.</t>
  </si>
  <si>
    <t>2x4 Header</t>
  </si>
  <si>
    <t>2x6 Header</t>
  </si>
  <si>
    <t>Posts</t>
  </si>
  <si>
    <t>ID</t>
  </si>
  <si>
    <t>MATERIAL</t>
  </si>
  <si>
    <t>LENGTH</t>
  </si>
  <si>
    <t>6x6 post</t>
  </si>
  <si>
    <t>C5-C15</t>
  </si>
  <si>
    <t>C16, C17</t>
  </si>
  <si>
    <t>stem wall</t>
  </si>
  <si>
    <t>C18-20</t>
  </si>
  <si>
    <t>6x6 post.</t>
  </si>
  <si>
    <t>Beams</t>
  </si>
  <si>
    <t>5 1/2" x 16 1/2" glulam</t>
  </si>
  <si>
    <t>3 1/2" x 21" glulam</t>
  </si>
  <si>
    <t>Roof and Porch Joists</t>
  </si>
  <si>
    <t>Member</t>
  </si>
  <si>
    <t>Quantity</t>
  </si>
  <si>
    <t>Units</t>
  </si>
  <si>
    <t>J8a,b</t>
  </si>
  <si>
    <t>pre−fab scissor truss @ 24" o.c.</t>
  </si>
  <si>
    <t>32’ / 35’ 9" overal</t>
  </si>
  <si>
    <t>J9a,b</t>
  </si>
  <si>
    <t>14" TJI 110 @ 24" o.c.</t>
  </si>
  <si>
    <t>J10a,b</t>
  </si>
  <si>
    <t>2x10 lumbervalley set @ 24" o.c.</t>
  </si>
  <si>
    <t>various</t>
  </si>
  <si>
    <t>J11a,b,c,d</t>
  </si>
  <si>
    <t>J12a,b</t>
  </si>
  <si>
    <t>18’ 0" add 8:12 slope</t>
  </si>
  <si>
    <t>J13a,b,c,d</t>
  </si>
  <si>
    <t>J14a,b,c,d</t>
  </si>
  <si>
    <t>J15a,b</t>
  </si>
  <si>
    <t>2x6 #2 df @ 24" o.c.</t>
  </si>
  <si>
    <t>J16a,b</t>
  </si>
  <si>
    <t>Front Porch Hip</t>
  </si>
  <si>
    <t>2x6 DF</t>
  </si>
  <si>
    <t>Front Porch Nailer</t>
  </si>
  <si>
    <t>Outriggers</t>
  </si>
  <si>
    <t>2x4 DF</t>
  </si>
  <si>
    <t>Soffit Support</t>
  </si>
  <si>
    <t>Soffit Sheeting</t>
  </si>
  <si>
    <t>Cement Board Soffit Covering</t>
  </si>
  <si>
    <t>Porch Cedar Ceiling</t>
  </si>
  <si>
    <t>T&amp;G Cedar</t>
  </si>
  <si>
    <t>Facia</t>
  </si>
  <si>
    <t>Roof Sheathing</t>
  </si>
  <si>
    <t>Area (ft(s)</t>
  </si>
  <si>
    <t>19/32 Plywood</t>
  </si>
  <si>
    <t>Main Gable</t>
  </si>
  <si>
    <t>Porches</t>
  </si>
  <si>
    <t>Mstr Bed #1</t>
  </si>
  <si>
    <t>Mstr Bed #2</t>
  </si>
  <si>
    <t>Roofing Nail</t>
  </si>
  <si>
    <t>Clips for Sheathing</t>
  </si>
  <si>
    <t>ITEM</t>
  </si>
  <si>
    <t>LENGTH(FT)</t>
  </si>
  <si>
    <t>Total Units</t>
  </si>
  <si>
    <t>Price/Unit</t>
  </si>
  <si>
    <t>B3a,b,c,d</t>
  </si>
  <si>
    <t>6x6 rough sawn df</t>
  </si>
  <si>
    <t>B4a,b</t>
  </si>
  <si>
    <t>3 5/8” x 14” glulam</t>
  </si>
  <si>
    <t>B5a,b</t>
  </si>
  <si>
    <t>3.5"x18" 24F−V8 DF Glulam</t>
  </si>
  <si>
    <t>B7a,b,c,d</t>
  </si>
  <si>
    <t>1.75”(x3) x 16” LVL</t>
  </si>
  <si>
    <t>5.5"x24" 24F-V4 DF Glulam</t>
  </si>
  <si>
    <t>B9</t>
  </si>
  <si>
    <t>6.75"x24" 24F-V4 DF Glulam</t>
  </si>
  <si>
    <t>B11</t>
  </si>
  <si>
    <t>B12a,b</t>
  </si>
  <si>
    <t>Product</t>
  </si>
  <si>
    <t>Joist Brackets</t>
  </si>
  <si>
    <t>Glulam Brackets</t>
  </si>
  <si>
    <t>Post Brackets</t>
  </si>
  <si>
    <t>Fasteners</t>
  </si>
  <si>
    <t>Braced Wall Calculations</t>
  </si>
  <si>
    <t>wall #</t>
  </si>
  <si>
    <t>Ceiling
Height</t>
  </si>
  <si>
    <t>opening height
adjacent to
Braced wall</t>
  </si>
  <si>
    <t>type(s) of
Braced wall
Panel</t>
  </si>
  <si>
    <t>distance between
braced walls</t>
  </si>
  <si>
    <t>required total
feet of bracing</t>
  </si>
  <si>
    <t>provided total
Feet bracing</t>
  </si>
  <si>
    <t>minimum required bracing length on each side of the circumscribed rectangle</t>
  </si>
  <si>
    <t>A 1-2</t>
  </si>
  <si>
    <t>9'</t>
  </si>
  <si>
    <t>CS-WSP</t>
  </si>
  <si>
    <t>27'-11”</t>
  </si>
  <si>
    <t>11'</t>
  </si>
  <si>
    <t>21'-4”</t>
  </si>
  <si>
    <t>minimum required bracing
length on each long side</t>
  </si>
  <si>
    <t>minimum required bracing
length on each short side</t>
  </si>
  <si>
    <t>A 2-4</t>
  </si>
  <si>
    <t>8'</t>
  </si>
  <si>
    <t>39'-5”</t>
  </si>
  <si>
    <t>12.2'</t>
  </si>
  <si>
    <t>17'-4”</t>
  </si>
  <si>
    <t>A 4-5</t>
  </si>
  <si>
    <t>28'-8”</t>
  </si>
  <si>
    <t>11.2'</t>
  </si>
  <si>
    <t>10.2'</t>
  </si>
  <si>
    <t>length of short side (f)</t>
  </si>
  <si>
    <t>length of long side (f)</t>
  </si>
  <si>
    <t>B 1-2</t>
  </si>
  <si>
    <t>GB</t>
  </si>
  <si>
    <t>19.3'</t>
  </si>
  <si>
    <t>B 2-4</t>
  </si>
  <si>
    <t>38'-10”</t>
  </si>
  <si>
    <t>14'-0”</t>
  </si>
  <si>
    <t>B 4-5</t>
  </si>
  <si>
    <t>28'-11”</t>
  </si>
  <si>
    <t>26'-5”</t>
  </si>
  <si>
    <t>C 1-2</t>
  </si>
  <si>
    <t>28'-5”</t>
  </si>
  <si>
    <t>20'-2”</t>
  </si>
  <si>
    <t>D 3-5</t>
  </si>
  <si>
    <t>31'-2”</t>
  </si>
  <si>
    <t>12'</t>
  </si>
  <si>
    <t>12'7”</t>
  </si>
  <si>
    <t>1 A-C</t>
  </si>
  <si>
    <t>CS-PFG / CS-WSP</t>
  </si>
  <si>
    <t>52'</t>
  </si>
  <si>
    <t>16.8'</t>
  </si>
  <si>
    <t>23'-5”</t>
  </si>
  <si>
    <t>2 A-B</t>
  </si>
  <si>
    <t>36'-1”</t>
  </si>
  <si>
    <t>21.8' *</t>
  </si>
  <si>
    <t>25'-0”</t>
  </si>
  <si>
    <t>2 B-C</t>
  </si>
  <si>
    <t>15'-11”</t>
  </si>
  <si>
    <t>8.1'</t>
  </si>
  <si>
    <t>3 B-D</t>
  </si>
  <si>
    <t>4 A-B</t>
  </si>
  <si>
    <t>25.4'</t>
  </si>
  <si>
    <t>30'-7”</t>
  </si>
  <si>
    <t>5 A-B</t>
  </si>
  <si>
    <t>15.3'</t>
  </si>
  <si>
    <t>22'-3”</t>
  </si>
  <si>
    <t>5 B-C</t>
  </si>
  <si>
    <t>11'-0”</t>
  </si>
  <si>
    <t>Interpolated no adjustments</t>
  </si>
  <si>
    <t>Interpolated 8' wall exposure c adjustments</t>
  </si>
  <si>
    <t>Interpolated 9' wall exposure c adjustments</t>
  </si>
  <si>
    <t>Braced Wall Spacing per IRC 2012</t>
  </si>
  <si>
    <t>IRC 2012 Table #</t>
  </si>
  <si>
    <t>Braced Wall
Line Spacing (ft)</t>
  </si>
  <si>
    <t>R602.10.3(1)</t>
  </si>
  <si>
    <t>R602.10.3(2)</t>
  </si>
  <si>
    <t>Final (ft)</t>
  </si>
  <si>
    <t>Base</t>
  </si>
  <si>
    <t>Exp</t>
  </si>
  <si>
    <t>Eave</t>
  </si>
  <si>
    <t>Height</t>
  </si>
  <si>
    <t># BWL</t>
  </si>
  <si>
    <t>Hold Dwn</t>
  </si>
  <si>
    <t>Int GWB</t>
  </si>
  <si>
    <t>GWB Fst</t>
  </si>
  <si>
    <t>Rectangle-Side</t>
  </si>
  <si>
    <t>opposite wall length</t>
  </si>
  <si>
    <t>wall height</t>
  </si>
  <si>
    <t>required bracing length (CS-WSP)</t>
  </si>
  <si>
    <t>actual equivalent bracing length (CS-WSP)</t>
  </si>
  <si>
    <t>A-1</t>
  </si>
  <si>
    <t>36'</t>
  </si>
  <si>
    <t>8.30'</t>
  </si>
  <si>
    <t>19.83'</t>
  </si>
  <si>
    <t>A-2</t>
  </si>
  <si>
    <t>24'</t>
  </si>
  <si>
    <t>6.11'</t>
  </si>
  <si>
    <t>6.25'</t>
  </si>
  <si>
    <t>A-3</t>
  </si>
  <si>
    <t>7.51'</t>
  </si>
  <si>
    <t>A-4</t>
  </si>
  <si>
    <t>7.5'</t>
  </si>
  <si>
    <t>B-1</t>
  </si>
  <si>
    <t>7.86'</t>
  </si>
  <si>
    <t>17.17'</t>
  </si>
  <si>
    <t>B-2</t>
  </si>
  <si>
    <t>41'</t>
  </si>
  <si>
    <t>8.64'</t>
  </si>
  <si>
    <t>9.83'</t>
  </si>
  <si>
    <t>B-3</t>
  </si>
  <si>
    <t>8.41'</t>
  </si>
  <si>
    <t>WSP</t>
  </si>
  <si>
    <t>B-4</t>
  </si>
  <si>
    <t>C-1</t>
  </si>
  <si>
    <t>20.42'</t>
  </si>
  <si>
    <t>C-2</t>
  </si>
  <si>
    <t>31'</t>
  </si>
  <si>
    <t>7.16'</t>
  </si>
  <si>
    <t>27.75'</t>
  </si>
  <si>
    <t>C-3</t>
  </si>
  <si>
    <t>8.88'</t>
  </si>
  <si>
    <t>C-4</t>
  </si>
  <si>
    <t>8.42'</t>
  </si>
  <si>
    <t>D-1</t>
  </si>
  <si>
    <t>16'</t>
  </si>
  <si>
    <t>4.33'</t>
  </si>
  <si>
    <t>D-2</t>
  </si>
  <si>
    <t>32'</t>
  </si>
  <si>
    <t>7.30'</t>
  </si>
  <si>
    <t>D-3</t>
  </si>
  <si>
    <t>4.10'</t>
  </si>
  <si>
    <t>20.08'</t>
  </si>
  <si>
    <t>D-4</t>
  </si>
  <si>
    <t>E-1</t>
  </si>
  <si>
    <t>4.5'</t>
  </si>
  <si>
    <t>E-2</t>
  </si>
  <si>
    <t>E-3</t>
  </si>
  <si>
    <t>11.17'</t>
  </si>
  <si>
    <t>E-4</t>
  </si>
  <si>
    <t>Siding</t>
  </si>
  <si>
    <t>House Wrap</t>
  </si>
  <si>
    <t>Wall Height (ft)</t>
  </si>
  <si>
    <t>Tyvek</t>
  </si>
  <si>
    <t>Tyvek Tape</t>
  </si>
  <si>
    <t>Length →</t>
  </si>
  <si>
    <t>ft High</t>
  </si>
  <si>
    <t># Units</t>
  </si>
  <si>
    <t>Cement Board</t>
  </si>
  <si>
    <t>Calking</t>
  </si>
  <si>
    <t>ft length each</t>
  </si>
  <si>
    <t>ft total</t>
  </si>
  <si>
    <t>Bld Corners</t>
  </si>
  <si>
    <t>Man Doors</t>
  </si>
  <si>
    <t>Caulk</t>
  </si>
  <si>
    <t>Exterior Paint → See Finishing</t>
  </si>
  <si>
    <t>Paint → See Finishing</t>
  </si>
  <si>
    <t>Roof</t>
  </si>
  <si>
    <t>Roof Underlayment</t>
  </si>
  <si>
    <t>UDL Titanium 50</t>
  </si>
  <si>
    <t>Metal Roofing</t>
  </si>
  <si>
    <t>Vent Boot</t>
  </si>
  <si>
    <t>Boots</t>
  </si>
  <si>
    <t>Facia Metal Covering</t>
  </si>
  <si>
    <t>Drip Edge</t>
  </si>
  <si>
    <t xml:space="preserve"> Roof Calcs</t>
  </si>
  <si>
    <t>Loading</t>
  </si>
  <si>
    <t>Roof Weight</t>
  </si>
  <si>
    <t>Rafter Framing</t>
  </si>
  <si>
    <t>Weight psf</t>
  </si>
  <si>
    <t>Span (ft)</t>
  </si>
  <si>
    <t>AJS 150 11-7/8</t>
  </si>
  <si>
    <t>5/8” Drywall</t>
  </si>
  <si>
    <t>14” Fiberglass Batt</t>
  </si>
  <si>
    <t>Bevel Plate Sill</t>
  </si>
  <si>
    <t>360 Series 14” TJI 2' o.c.</t>
  </si>
  <si>
    <t>Dbl-Bvl Plate Beam</t>
  </si>
  <si>
    <t>5/8” Plywood Sheathing</t>
  </si>
  <si>
    <t>Ridge Board</t>
  </si>
  <si>
    <t>18ga Metal Roof</t>
  </si>
  <si>
    <t>Overhang</t>
  </si>
  <si>
    <t>USP LSTA24 Strap</t>
  </si>
  <si>
    <t>UPS TMU Hanger</t>
  </si>
  <si>
    <t>Ridge Beams</t>
  </si>
  <si>
    <t>Roof Design Load</t>
  </si>
  <si>
    <t>Dead</t>
  </si>
  <si>
    <t>Live</t>
  </si>
  <si>
    <t>Snow</t>
  </si>
  <si>
    <t>Columns</t>
  </si>
  <si>
    <t>Trib Area Weights</t>
  </si>
  <si>
    <t>Partition</t>
  </si>
  <si>
    <t>Width</t>
  </si>
  <si>
    <t>Cor Factor</t>
  </si>
  <si>
    <t>Corrected Width</t>
  </si>
  <si>
    <t>A</t>
  </si>
  <si>
    <t>A'</t>
  </si>
  <si>
    <t>B</t>
  </si>
  <si>
    <t>C</t>
  </si>
  <si>
    <t>D</t>
  </si>
  <si>
    <t>D Cos45</t>
  </si>
  <si>
    <t>E</t>
  </si>
  <si>
    <t>F</t>
  </si>
  <si>
    <t>G</t>
  </si>
  <si>
    <t>Trib Loads plf</t>
  </si>
  <si>
    <t>Crawlspace Insulation</t>
  </si>
  <si>
    <t>2” Rigid Insulation</t>
  </si>
  <si>
    <t>Exterior Wall Insulation</t>
  </si>
  <si>
    <t>Wall H. (ft)</t>
  </si>
  <si>
    <t>Cell. Blwn @ R-40</t>
  </si>
  <si>
    <t>Netting</t>
  </si>
  <si>
    <t>Garage Fib Batt</t>
  </si>
  <si>
    <t>Roof Insulation</t>
  </si>
  <si>
    <t>Floor Area</t>
  </si>
  <si>
    <t>Main Roof</t>
  </si>
  <si>
    <t>R-49 Fiberglass Batt</t>
  </si>
  <si>
    <t>R-3.2 Foam Board</t>
  </si>
  <si>
    <t>Master Bed #1</t>
  </si>
  <si>
    <t>Master Bed #2</t>
  </si>
  <si>
    <t>Garage Ceiling</t>
  </si>
  <si>
    <t>R-30 Fiberglass Batt</t>
  </si>
  <si>
    <t>Take Out R-3.2 Foam Board Insulation</t>
  </si>
  <si>
    <t>Drywall</t>
  </si>
  <si>
    <t>WINDOW SCHEDULE</t>
  </si>
  <si>
    <t>DOOR SCHEDULE</t>
  </si>
  <si>
    <t>Walls</t>
  </si>
  <si>
    <t>Height (ft)</t>
  </si>
  <si>
    <t>Wood</t>
  </si>
  <si>
    <t>Tile</t>
  </si>
  <si>
    <t>Carpet</t>
  </si>
  <si>
    <t>WIDTH</t>
  </si>
  <si>
    <t>HEIGHT</t>
  </si>
  <si>
    <t>FRAME</t>
  </si>
  <si>
    <t>HEAD HEIGHT</t>
  </si>
  <si>
    <t>U-FACTOR</t>
  </si>
  <si>
    <t>SHGC</t>
  </si>
  <si>
    <t>EGRESS</t>
  </si>
  <si>
    <t>TEMPERED</t>
  </si>
  <si>
    <t>NOTES</t>
  </si>
  <si>
    <t>TRANS</t>
  </si>
  <si>
    <t>HDWR SET</t>
  </si>
  <si>
    <t>U.L LABLE</t>
  </si>
  <si>
    <t>CONSTRUCTION</t>
  </si>
  <si>
    <t>Ext Inside Face</t>
  </si>
  <si>
    <t>72”</t>
  </si>
  <si>
    <t>48”</t>
  </si>
  <si>
    <t>vinyl</t>
  </si>
  <si>
    <t>6'-8”</t>
  </si>
  <si>
    <t>n</t>
  </si>
  <si>
    <t>mstr bd glider</t>
  </si>
  <si>
    <t>3'-0”</t>
  </si>
  <si>
    <t>0'-4 11/16”</t>
  </si>
  <si>
    <t>entry</t>
  </si>
  <si>
    <t>fiberglass/glass</t>
  </si>
  <si>
    <t>mstr exterior hinged door</t>
  </si>
  <si>
    <t>Int Both Sides</t>
  </si>
  <si>
    <t>120”</t>
  </si>
  <si>
    <t>lvrm glider</t>
  </si>
  <si>
    <t>5'-10”</t>
  </si>
  <si>
    <t>?</t>
  </si>
  <si>
    <t>vinyl/glass</t>
  </si>
  <si>
    <t>mstr ext french</t>
  </si>
  <si>
    <t>Ceilings Top</t>
  </si>
  <si>
    <t>42”</t>
  </si>
  <si>
    <t>60”</t>
  </si>
  <si>
    <t>mstr bd fixed</t>
  </si>
  <si>
    <t>0'-0”</t>
  </si>
  <si>
    <t>passage</t>
  </si>
  <si>
    <t>wood</t>
  </si>
  <si>
    <t>bathroom pocket door</t>
  </si>
  <si>
    <r>
      <t>Ceilings 1</t>
    </r>
    <r>
      <rPr>
        <vertAlign val="superscript"/>
        <sz val="10"/>
        <rFont val="Arial"/>
        <family val="2"/>
      </rPr>
      <t>st</t>
    </r>
    <r>
      <rPr>
        <sz val="10"/>
        <rFont val="Arial"/>
        <family val="2"/>
      </rPr>
      <t xml:space="preserve"> Fl's</t>
    </r>
  </si>
  <si>
    <t>30 m fire</t>
  </si>
  <si>
    <t>garage hinged door</t>
  </si>
  <si>
    <t>Drywall Screws</t>
  </si>
  <si>
    <t>privacy</t>
  </si>
  <si>
    <t>bathroom hinged door</t>
  </si>
  <si>
    <t>Drywall Tape</t>
  </si>
  <si>
    <t>18”</t>
  </si>
  <si>
    <t>mstr bath glider</t>
  </si>
  <si>
    <t>Drywall Mud</t>
  </si>
  <si>
    <t>bedroom hinged door</t>
  </si>
  <si>
    <t>Drywall Texture Mud</t>
  </si>
  <si>
    <t>H</t>
  </si>
  <si>
    <t>bedroom glider</t>
  </si>
  <si>
    <t>12'-0”</t>
  </si>
  <si>
    <t>patio sliding door</t>
  </si>
  <si>
    <t>I</t>
  </si>
  <si>
    <t>J</t>
  </si>
  <si>
    <t>10'-0”</t>
  </si>
  <si>
    <t>8'-0”</t>
  </si>
  <si>
    <t>garage</t>
  </si>
  <si>
    <t>panel</t>
  </si>
  <si>
    <t>garage w/ remote opener</t>
  </si>
  <si>
    <t>Flooring</t>
  </si>
  <si>
    <t>K</t>
  </si>
  <si>
    <t>18”-0”</t>
  </si>
  <si>
    <t>L</t>
  </si>
  <si>
    <t>96”</t>
  </si>
  <si>
    <t>study glider</t>
  </si>
  <si>
    <t>6'-0”</t>
  </si>
  <si>
    <t>study french door</t>
  </si>
  <si>
    <t>Hardwood</t>
  </si>
  <si>
    <t>M</t>
  </si>
  <si>
    <t>foyer fixed</t>
  </si>
  <si>
    <t>4'-0”</t>
  </si>
  <si>
    <t>hallway french door</t>
  </si>
  <si>
    <t>master bedrooms shell /ft^2</t>
  </si>
  <si>
    <t>N</t>
  </si>
  <si>
    <t>master bedrooms shell $/ft^2</t>
  </si>
  <si>
    <t>O</t>
  </si>
  <si>
    <t>36”</t>
  </si>
  <si>
    <t>bath, glider, p. glass</t>
  </si>
  <si>
    <t>2'8”</t>
  </si>
  <si>
    <t>shower pocket door</t>
  </si>
  <si>
    <t>Thinset</t>
  </si>
  <si>
    <t>P</t>
  </si>
  <si>
    <t>utility glider</t>
  </si>
  <si>
    <t>Grout</t>
  </si>
  <si>
    <t>Q</t>
  </si>
  <si>
    <t>garage glider</t>
  </si>
  <si>
    <t>4'-8”</t>
  </si>
  <si>
    <t>closet bi-fold door</t>
  </si>
  <si>
    <t>R</t>
  </si>
  <si>
    <t>2'-8”</t>
  </si>
  <si>
    <t>water closet hinged door</t>
  </si>
  <si>
    <t>Carpet Padding</t>
  </si>
  <si>
    <t>2A</t>
  </si>
  <si>
    <t>12'-2”</t>
  </si>
  <si>
    <t>attic s glider</t>
  </si>
  <si>
    <t>Carpet Tack Strip</t>
  </si>
  <si>
    <t>2B</t>
  </si>
  <si>
    <t>2C</t>
  </si>
  <si>
    <t>16'-2”</t>
  </si>
  <si>
    <t>2D</t>
  </si>
  <si>
    <t>2E</t>
  </si>
  <si>
    <t>2F</t>
  </si>
  <si>
    <t>2'-4”</t>
  </si>
  <si>
    <t>pantry hinged door</t>
  </si>
  <si>
    <t>Window</t>
  </si>
  <si>
    <t>Window Type</t>
  </si>
  <si>
    <t>Price/Each</t>
  </si>
  <si>
    <t>2G</t>
  </si>
  <si>
    <t>attic e glider</t>
  </si>
  <si>
    <t>utility rm pocket door</t>
  </si>
  <si>
    <t>Study and Masterbedrooms</t>
  </si>
  <si>
    <t>96x48"</t>
  </si>
  <si>
    <t>end vent (?) sliding</t>
  </si>
  <si>
    <t>2H</t>
  </si>
  <si>
    <t>2'-6”</t>
  </si>
  <si>
    <t>Bedrooms</t>
  </si>
  <si>
    <t>48x48"</t>
  </si>
  <si>
    <t>left hand sliding</t>
  </si>
  <si>
    <t>2I</t>
  </si>
  <si>
    <t>attic n glider</t>
  </si>
  <si>
    <t>Master bedroom bathtub, laundry room</t>
  </si>
  <si>
    <t>2J</t>
  </si>
  <si>
    <t>front hinged door</t>
  </si>
  <si>
    <t>Master bedroom shower</t>
  </si>
  <si>
    <t>48x24"</t>
  </si>
  <si>
    <t>awning</t>
  </si>
  <si>
    <t>2K</t>
  </si>
  <si>
    <t>attic w glider</t>
  </si>
  <si>
    <t>A1</t>
  </si>
  <si>
    <t>Great room wall- picture windows</t>
  </si>
  <si>
    <t>36x36"</t>
  </si>
  <si>
    <t>picture</t>
  </si>
  <si>
    <t>2L</t>
  </si>
  <si>
    <t>A2</t>
  </si>
  <si>
    <t>attic access door for HRV</t>
  </si>
  <si>
    <t>Guest bathroom (single hung)</t>
  </si>
  <si>
    <t>24x36"</t>
  </si>
  <si>
    <t>single hung</t>
  </si>
  <si>
    <t>Front door side lights</t>
  </si>
  <si>
    <t>12x60"</t>
  </si>
  <si>
    <t>picture?</t>
  </si>
  <si>
    <t>Great room large windows (or door panels)?</t>
  </si>
  <si>
    <t>Gross Floor Area w/o Garage</t>
  </si>
  <si>
    <t xml:space="preserve">Attic </t>
  </si>
  <si>
    <t>36x48"</t>
  </si>
  <si>
    <t>Gross Floor Area w/ Garage</t>
  </si>
  <si>
    <t>Gross Floor Area w/ Garage + Attic</t>
  </si>
  <si>
    <t>Door Type</t>
  </si>
  <si>
    <t>36x80”</t>
  </si>
  <si>
    <t>Conventional</t>
  </si>
  <si>
    <t>Sliding Glass Grt Rm</t>
  </si>
  <si>
    <t>144x80"</t>
  </si>
  <si>
    <t>4 panel sliding glass</t>
  </si>
  <si>
    <t>French Door Mstr Bd</t>
  </si>
  <si>
    <t>76x80"</t>
  </si>
  <si>
    <t>Roof Area w/o Porches</t>
  </si>
  <si>
    <t>Interior Door Pre-Hung</t>
  </si>
  <si>
    <t>Front Patio Porch</t>
  </si>
  <si>
    <t>32x80”</t>
  </si>
  <si>
    <t>Back Master Bed Porches</t>
  </si>
  <si>
    <t>30x80”</t>
  </si>
  <si>
    <t>Back Patio Porch</t>
  </si>
  <si>
    <t>Fire Door (Garage)</t>
  </si>
  <si>
    <t>Pocket Doors</t>
  </si>
  <si>
    <t>Pocket</t>
  </si>
  <si>
    <t>Total Roof Area w/ Porches</t>
  </si>
  <si>
    <t>Pocket Door Frame</t>
  </si>
  <si>
    <t>Closet Doors</t>
  </si>
  <si>
    <t>24x80” (2)</t>
  </si>
  <si>
    <t>French</t>
  </si>
  <si>
    <t>Garage Slab</t>
  </si>
  <si>
    <t>Hallway Door</t>
  </si>
  <si>
    <t>Front Porch Slab</t>
  </si>
  <si>
    <t>Study Doors</t>
  </si>
  <si>
    <t>36x80 (2)</t>
  </si>
  <si>
    <t>Rear Porch Slab</t>
  </si>
  <si>
    <t>Attic Doors</t>
  </si>
  <si>
    <t>Total Outside Concrete Pad Area</t>
  </si>
  <si>
    <t>10x8'</t>
  </si>
  <si>
    <t>18x8'</t>
  </si>
  <si>
    <t>Garage Door Opener</t>
  </si>
  <si>
    <t>Opener</t>
  </si>
  <si>
    <t>Door Hardware</t>
  </si>
  <si>
    <t>Passage</t>
  </si>
  <si>
    <t>Font Porch Roof</t>
  </si>
  <si>
    <t>Privacy</t>
  </si>
  <si>
    <t>Back Porch Roof (West)</t>
  </si>
  <si>
    <t>Entry</t>
  </si>
  <si>
    <t>Back Porch Roof (Center)</t>
  </si>
  <si>
    <t>Misc Hardware</t>
  </si>
  <si>
    <t>Back Porch Roof (East)</t>
  </si>
  <si>
    <t>Total Porch Roof Area &gt; 4'</t>
  </si>
  <si>
    <t>Molding</t>
  </si>
  <si>
    <t>ft</t>
  </si>
  <si>
    <t>Baseboards</t>
  </si>
  <si>
    <t>Window Sills</t>
  </si>
  <si>
    <t>Door Frames</t>
  </si>
  <si>
    <t>Cabinetry / Counter-tops</t>
  </si>
  <si>
    <t>Kitchen Cabinets</t>
  </si>
  <si>
    <t>Hallway Cabinets</t>
  </si>
  <si>
    <t>Bathroom Cabinets</t>
  </si>
  <si>
    <t>Kitchen Concrete Countertops</t>
  </si>
  <si>
    <t>Sinks Toilets Showers Vanities</t>
  </si>
  <si>
    <t>Kitchen Faucet</t>
  </si>
  <si>
    <t>Mstr Bd Vanity + Sink</t>
  </si>
  <si>
    <t>Bathroom Vanity+Sink</t>
  </si>
  <si>
    <t>Spare Bathroom Vanity+Sink</t>
  </si>
  <si>
    <t>Bathroom Faucets</t>
  </si>
  <si>
    <t>Shower 1</t>
  </si>
  <si>
    <t>Shower 2</t>
  </si>
  <si>
    <t>Shower 3</t>
  </si>
  <si>
    <t>Bathtub Whirlpool</t>
  </si>
  <si>
    <t>Shower Faucet</t>
  </si>
  <si>
    <t>Bathtub Faucet</t>
  </si>
  <si>
    <t>Paint</t>
  </si>
  <si>
    <t>Length of Walls (ft)</t>
  </si>
  <si>
    <t>Area ft^2</t>
  </si>
  <si>
    <t>Exterior Wall Paint</t>
  </si>
  <si>
    <t>Exterior Trim Paint</t>
  </si>
  <si>
    <t>Interior Wall Primer</t>
  </si>
  <si>
    <t>Interior Paint</t>
  </si>
  <si>
    <t>Interior Ceiling Primer</t>
  </si>
  <si>
    <t>Interior Ceiling Paint</t>
  </si>
  <si>
    <t>Interior Trim</t>
  </si>
  <si>
    <t>Smoke / CO detectors</t>
  </si>
  <si>
    <t>Kitchen range hood/blower →  See Appliances</t>
  </si>
  <si>
    <t>Bathroom Exhaust Fan (unit)</t>
  </si>
  <si>
    <t>Fireplace → See Appliances</t>
  </si>
  <si>
    <t>Wood Stove → See Appliances</t>
  </si>
  <si>
    <t>Stairs → See Flatwork</t>
  </si>
  <si>
    <t xml:space="preserve">Appliances Built-Ins </t>
  </si>
  <si>
    <t>Clothes Washer (Stackable)</t>
  </si>
  <si>
    <t>Clothes Dryer (Stackable)</t>
  </si>
  <si>
    <t>Refrigerator</t>
  </si>
  <si>
    <t>Tankless Propane Water Heater</t>
  </si>
  <si>
    <t>Water Heater Pump &amp; Control</t>
  </si>
  <si>
    <t>Gas Range Top</t>
  </si>
  <si>
    <t>Electric Double Oven</t>
  </si>
  <si>
    <t>Wood Stove</t>
  </si>
  <si>
    <t>Range Hood</t>
  </si>
  <si>
    <t>Water Softener</t>
  </si>
  <si>
    <t>Water RO System</t>
  </si>
  <si>
    <t>Propane Tank</t>
  </si>
  <si>
    <t>Remove Washer&amp; Dryer</t>
  </si>
  <si>
    <t>Remove Water Softener and RO</t>
  </si>
  <si>
    <t>HVAC Units</t>
  </si>
  <si>
    <t>CX34 Chiller 2 Ton</t>
  </si>
  <si>
    <t>Psychrologix™ DHC Controller</t>
  </si>
  <si>
    <t>CXI34 Air Handler</t>
  </si>
  <si>
    <t>CXI65 Air Handler</t>
  </si>
  <si>
    <t>Booster Pump</t>
  </si>
  <si>
    <t>HSE Corn Glycol (5 gal)</t>
  </si>
  <si>
    <t>Shipping</t>
  </si>
  <si>
    <t>Hydronic Plumbing</t>
  </si>
  <si>
    <t>PEX Pipe</t>
  </si>
  <si>
    <t>Fittings</t>
  </si>
  <si>
    <t>Expansion Tank</t>
  </si>
  <si>
    <t>HRV System</t>
  </si>
  <si>
    <t>HRV</t>
  </si>
  <si>
    <t>Ducting</t>
  </si>
  <si>
    <t>Sewer Plumbing Rough In</t>
  </si>
  <si>
    <t>drainage fixture unit (d.f.u.) values for various plumbing fixtures from irc 2012 table p3004.1</t>
  </si>
  <si>
    <t>WATER SUPPLY FIXTURE UNIT TABLE PER IRC2012 TABLE 2903.6</t>
  </si>
  <si>
    <t>TYPE OF FIXTURE OR GROUBP OF FIXTURES</t>
  </si>
  <si>
    <t xml:space="preserve"> (D.F.U)</t>
  </si>
  <si>
    <t>type of fixture</t>
  </si>
  <si>
    <t>water supply fixture unit value (w.s.f.u)</t>
  </si>
  <si>
    <t>Bar sink</t>
  </si>
  <si>
    <t>hot</t>
  </si>
  <si>
    <t>cold</t>
  </si>
  <si>
    <t>combined</t>
  </si>
  <si>
    <t>total</t>
  </si>
  <si>
    <t>Bathtub (with or without shower head and/or whirlpool attachments)</t>
  </si>
  <si>
    <t>bathtub</t>
  </si>
  <si>
    <t>Bidet</t>
  </si>
  <si>
    <t>clothes washer</t>
  </si>
  <si>
    <t>Clothes washer standpipe</t>
  </si>
  <si>
    <t>dishwasher</t>
  </si>
  <si>
    <t>full-bath group</t>
  </si>
  <si>
    <t>Floor drain</t>
  </si>
  <si>
    <t>half-bath group</t>
  </si>
  <si>
    <t>Kitchen sink</t>
  </si>
  <si>
    <t>hose bibb</t>
  </si>
  <si>
    <t>Water Pipe Rough In</t>
  </si>
  <si>
    <t>Lavatory</t>
  </si>
  <si>
    <t>kitchen group</t>
  </si>
  <si>
    <t>Laundry tub</t>
  </si>
  <si>
    <t>kitchen sink</t>
  </si>
  <si>
    <t>Shower stall</t>
  </si>
  <si>
    <t>laundry group</t>
  </si>
  <si>
    <t>Water closet (1.6 gpf)</t>
  </si>
  <si>
    <t>laundry tub</t>
  </si>
  <si>
    <t>Water closet (&gt; 1.6 gpf)</t>
  </si>
  <si>
    <t>lavatory</t>
  </si>
  <si>
    <t>Full-bath group with bathtub (1.6 gpf, and with or without shower head and/or whirlpool attachment on the bathtub or shower stall)</t>
  </si>
  <si>
    <t>shower stall</t>
  </si>
  <si>
    <t>Full-bath group with bathtub (&gt; 1.6 gpf, and with or without shower head and/or whirlpool attachment on the bathtub or shower stall)</t>
  </si>
  <si>
    <t>water closet</t>
  </si>
  <si>
    <t>Half-bath group (1.6 gpf) plus lavatory)</t>
  </si>
  <si>
    <t>Half-bath group (&gt; 1.6 gpf) plus lavatory)</t>
  </si>
  <si>
    <t>total (w.s.f.u)</t>
  </si>
  <si>
    <t>Gas Pipe Rough In</t>
  </si>
  <si>
    <t>Kitchen group (dishwasher and sink with or without garbage grinder)</t>
  </si>
  <si>
    <t>pressure (psi)</t>
  </si>
  <si>
    <t>Laundry group (clothes washer standpipe and laundry tub)</t>
  </si>
  <si>
    <t>max dev. length (ft)</t>
  </si>
  <si>
    <t>max dev. length</t>
  </si>
  <si>
    <t>Multiple-bath groups</t>
  </si>
  <si>
    <t xml:space="preserve">    1.5 baths</t>
  </si>
  <si>
    <t xml:space="preserve">    2 baths</t>
  </si>
  <si>
    <t xml:space="preserve">    2.5 baths</t>
  </si>
  <si>
    <t xml:space="preserve">    3 baths</t>
  </si>
  <si>
    <t xml:space="preserve">    3.5 baths</t>
  </si>
  <si>
    <t>House</t>
  </si>
  <si>
    <t>LP GAS PIPE SIZING [per IRC2012 TABLE G2413.4(13)]</t>
  </si>
  <si>
    <t>segment</t>
  </si>
  <si>
    <t>btu required</t>
  </si>
  <si>
    <t>line length</t>
  </si>
  <si>
    <t>pipe diameter</t>
  </si>
  <si>
    <t>available btu*</t>
  </si>
  <si>
    <t>@ in. w.c. drop</t>
  </si>
  <si>
    <t>a</t>
  </si>
  <si>
    <t>1”</t>
  </si>
  <si>
    <t>b</t>
  </si>
  <si>
    <t>42'</t>
  </si>
  <si>
    <t>1/2”</t>
  </si>
  <si>
    <t>c</t>
  </si>
  <si>
    <t>25'</t>
  </si>
  <si>
    <t>d</t>
  </si>
  <si>
    <t>6'</t>
  </si>
  <si>
    <t>3/4”</t>
  </si>
  <si>
    <t>e</t>
  </si>
  <si>
    <t>f</t>
  </si>
  <si>
    <t>10'</t>
  </si>
  <si>
    <t>87'</t>
  </si>
  <si>
    <t>7'</t>
  </si>
  <si>
    <t>15'</t>
  </si>
  <si>
    <t>¾</t>
  </si>
  <si>
    <t>Eljin SDF Septic 49 Fixture Count</t>
  </si>
  <si>
    <t>Determining Fixture Count</t>
  </si>
  <si>
    <t>Residential Fixture Type</t>
  </si>
  <si>
    <t>Fixture Units</t>
  </si>
  <si>
    <t>X</t>
  </si>
  <si>
    <t>Qty</t>
  </si>
  <si>
    <t>2,500 gal septic tank from yavapai precast</t>
  </si>
  <si>
    <t>Utility Tub or Sink</t>
  </si>
  <si>
    <t>Gravel for Septic Tank</t>
  </si>
  <si>
    <t>Sink (bar)</t>
  </si>
  <si>
    <t>4” Perforated Pipe</t>
  </si>
  <si>
    <t>Kitchen Sink w/ Dishwasher</t>
  </si>
  <si>
    <t>Filter</t>
  </si>
  <si>
    <t>Dishwasher-additional</t>
  </si>
  <si>
    <t>Distribution Box</t>
  </si>
  <si>
    <t>Sink (Double-as in Master Bath Room</t>
  </si>
  <si>
    <t>Riser</t>
  </si>
  <si>
    <t>Sink</t>
  </si>
  <si>
    <t>4” Sewer Line to Tank</t>
  </si>
  <si>
    <t>Sand ASTM C33</t>
  </si>
  <si>
    <t>Shower (single stall)</t>
  </si>
  <si>
    <t>B43 Pad with fabric and hoops</t>
  </si>
  <si>
    <t>Toilet 1.6 gal per Flush (gpf)</t>
  </si>
  <si>
    <t xml:space="preserve">R18-9-A314. Septic Tank Design, Manufacturing, and Installation for Onsite Wastewater Treatment Facilities </t>
  </si>
  <si>
    <t xml:space="preserve">    Criteria for Septic Tank Size and Design Flow :  7 Bed 49 Fixture Count → 2,500 Min Design Liquid Cap (gal), 1050 Design Flow (Gal/Day)</t>
  </si>
  <si>
    <t xml:space="preserve">    Criteria for Septic Tank Size and Design Flow :  6 Bed 42 Fixture Count → 2,000 Min Design Liquid Cap (gal), 900 Design Flow (Gal/Day)</t>
  </si>
  <si>
    <t>Quick 4+ HC Chambers Septic</t>
  </si>
  <si>
    <t>SAR</t>
  </si>
  <si>
    <t>SARa</t>
  </si>
  <si>
    <t>Septic Tank</t>
  </si>
  <si>
    <t>Daily Design Flow</t>
  </si>
  <si>
    <t>Absorption Area</t>
  </si>
  <si>
    <t>B43 Area (ft^2)</t>
  </si>
  <si>
    <t>=</t>
  </si>
  <si>
    <t>B43 Units Needed</t>
  </si>
  <si>
    <t>B43 Units Used</t>
  </si>
  <si>
    <t>Trench Length Calc</t>
  </si>
  <si>
    <t>Quick 4 Plus HC Chamber</t>
  </si>
  <si>
    <t>Trench Length Used</t>
  </si>
  <si>
    <t>Quick 4 Plus Endcap</t>
  </si>
  <si>
    <t>Sand CS Area (ft^2)</t>
  </si>
  <si>
    <t>Sand Volume (ft^3)</t>
  </si>
  <si>
    <t>Sand Density (lb/ft^2)</t>
  </si>
  <si>
    <t>Sand Tons</t>
  </si>
  <si>
    <t>Primary Black + Gray Water</t>
  </si>
  <si>
    <t>Aerobic System + Chambers</t>
  </si>
  <si>
    <t>Septic Tank 1050 gal</t>
  </si>
  <si>
    <t>Aerobic Tank Setup</t>
  </si>
  <si>
    <t>Control Panel</t>
  </si>
  <si>
    <t>Gray Water Only</t>
  </si>
  <si>
    <t>Test Holes (Original Grade)</t>
  </si>
  <si>
    <t>TH #</t>
  </si>
  <si>
    <t>Depth</t>
  </si>
  <si>
    <t>Grade Elevation</t>
  </si>
  <si>
    <t>Bottom Elevation</t>
  </si>
  <si>
    <t>Notes</t>
  </si>
  <si>
    <t>Aerobic System + Subsurface Pressure Drip Line</t>
  </si>
  <si>
    <t>Drip Tubing</t>
  </si>
  <si>
    <t>Distribution tubing and fittings</t>
  </si>
  <si>
    <t>Effluent Pump</t>
  </si>
  <si>
    <t>Test Holes (Finished Grade)</t>
  </si>
  <si>
    <t>Eljin SDF Septic 49 Fixture Count Hydraulic Analysis</t>
  </si>
  <si>
    <t>2500 gal septic tank</t>
  </si>
  <si>
    <t>Eljin SDF Septic 42 Fixture Count Hydraulic Analysis</t>
  </si>
  <si>
    <t>2000 gal septic tank</t>
  </si>
  <si>
    <t>Eljin SDF Septic 35 Fixture Count</t>
  </si>
  <si>
    <t>1500 gal septic tank</t>
  </si>
  <si>
    <t>Electric</t>
  </si>
  <si>
    <t>Breakout</t>
  </si>
  <si>
    <t>qt</t>
  </si>
  <si>
    <t>400A Panel</t>
  </si>
  <si>
    <t>200A Panel</t>
  </si>
  <si>
    <t>Outlets</t>
  </si>
  <si>
    <t>Outlets 110 w/ box</t>
  </si>
  <si>
    <t>Cat5</t>
  </si>
  <si>
    <t>Outlets 110 GFCI w/ box</t>
  </si>
  <si>
    <t>Outlet 220 w/ box</t>
  </si>
  <si>
    <t>Light Switch 1-w w/ box</t>
  </si>
  <si>
    <t>Light Switch multi-w w/ box</t>
  </si>
  <si>
    <t>15A-1P AFCI Breaker</t>
  </si>
  <si>
    <t>20A-1P AFCI Breaker</t>
  </si>
  <si>
    <t>20A-2P GFCI Breaker</t>
  </si>
  <si>
    <t>30A-2P GFCI</t>
  </si>
  <si>
    <t>50A-2P GFCI</t>
  </si>
  <si>
    <t>200A-2P Main</t>
  </si>
  <si>
    <t>#6 Wire (Oven)</t>
  </si>
  <si>
    <t>#10 Wire (Dryer)</t>
  </si>
  <si>
    <t>#12 Wire (Heat Pump)</t>
  </si>
  <si>
    <t>#14 Lights</t>
  </si>
  <si>
    <t>#12 Outlets</t>
  </si>
  <si>
    <t>ELECTRICAL LOAD CALCULATIONS</t>
  </si>
  <si>
    <t>PANEL SCHEDULE</t>
  </si>
  <si>
    <t>400 AMP MB PANEL 120/240 V 1PH. 3-WIRE</t>
  </si>
  <si>
    <t>5230 S.F x 3 WATTS</t>
  </si>
  <si>
    <t>WATTS</t>
  </si>
  <si>
    <t>CRKT</t>
  </si>
  <si>
    <t>DESCRIPTION</t>
  </si>
  <si>
    <t>WIRE</t>
  </si>
  <si>
    <t>BRK</t>
  </si>
  <si>
    <t>OVEN</t>
  </si>
  <si>
    <t>sub pnl, shop</t>
  </si>
  <si>
    <t>#2</t>
  </si>
  <si>
    <t>2P-200</t>
  </si>
  <si>
    <t>1P-15</t>
  </si>
  <si>
    <t>#14</t>
  </si>
  <si>
    <t>lights afci</t>
  </si>
  <si>
    <t>ELEC DRYER</t>
  </si>
  <si>
    <t>1P-20</t>
  </si>
  <si>
    <t>#12</t>
  </si>
  <si>
    <t>bath gfci</t>
  </si>
  <si>
    <t>JET TUB</t>
  </si>
  <si>
    <t>Oven</t>
  </si>
  <si>
    <t>#6</t>
  </si>
  <si>
    <t>2P-50</t>
  </si>
  <si>
    <t>BATH GFCI X4</t>
  </si>
  <si>
    <t>DOOR MOTOR</t>
  </si>
  <si>
    <t>Garage 220</t>
  </si>
  <si>
    <t>CLOTHES WASHER</t>
  </si>
  <si>
    <t>garage gfci</t>
  </si>
  <si>
    <t>LAUNDRY</t>
  </si>
  <si>
    <t>dryer</t>
  </si>
  <si>
    <t>#10</t>
  </si>
  <si>
    <t>2P-30</t>
  </si>
  <si>
    <t>APPLIANCE X2</t>
  </si>
  <si>
    <t>appliance</t>
  </si>
  <si>
    <t>REFRIGERATOR</t>
  </si>
  <si>
    <t>2 ton hp #1</t>
  </si>
  <si>
    <t>2P-20</t>
  </si>
  <si>
    <t>DW/DISPOSAL</t>
  </si>
  <si>
    <t>2 ton hp #2</t>
  </si>
  <si>
    <t>dw gfci</t>
  </si>
  <si>
    <t>rec afci</t>
  </si>
  <si>
    <t>2 ton hp #3</t>
  </si>
  <si>
    <t>1ST 10KW AT 100%</t>
  </si>
  <si>
    <t>REMAINDER AT 40%</t>
  </si>
  <si>
    <t>fan coils</t>
  </si>
  <si>
    <t>24976/240V</t>
  </si>
  <si>
    <t>AMPS</t>
  </si>
  <si>
    <t>whirlepool tub</t>
  </si>
  <si>
    <t>HEAT PUMP #1</t>
  </si>
  <si>
    <t>HEAT PUMP #2</t>
  </si>
  <si>
    <t>HEAT PUMP #3</t>
  </si>
  <si>
    <t>ext gfci</t>
  </si>
  <si>
    <t>CRAWLSPACE FAN</t>
  </si>
  <si>
    <t>TOTAL SERVICE LOAD</t>
  </si>
  <si>
    <t>200 AMP SUB PANEL 120/240 V 1PH. 3-WIRE</t>
  </si>
  <si>
    <t>1836 S.F x 3 WATTS</t>
  </si>
  <si>
    <t>RANGE OVEN</t>
  </si>
  <si>
    <t>kitchen appliance</t>
  </si>
  <si>
    <t>BATH GFCI X1</t>
  </si>
  <si>
    <t>KITCHEN APPLIANCE X2</t>
  </si>
  <si>
    <t>shop 220</t>
  </si>
  <si>
    <t>WORKSHOP 220V x5</t>
  </si>
  <si>
    <t>shop gfci</t>
  </si>
  <si>
    <t>shop lights</t>
  </si>
  <si>
    <t>sewage pump</t>
  </si>
  <si>
    <t>TOTAL/240V</t>
  </si>
  <si>
    <t>MINI SPLIT</t>
  </si>
  <si>
    <t>SEWAGE PUMP</t>
  </si>
  <si>
    <t>Fire Sprinkler Quote from B&amp;W</t>
  </si>
  <si>
    <t>Remove Fire Sprinklers</t>
  </si>
  <si>
    <t>https://www.darley.com/starterpaq</t>
  </si>
  <si>
    <t>nfpa13d</t>
  </si>
  <si>
    <t>https://www.generalairproducts.com/fire-protection-products/nfpa-13d-residential-pump-and-tank-packages.html</t>
  </si>
  <si>
    <t>http://www.raimondofiresystems.com/</t>
  </si>
  <si>
    <t>Wall Assembly R Calcs</t>
  </si>
  <si>
    <t>Cavity</t>
  </si>
  <si>
    <t>Framing factor assumptions:
No stud bridging, 1” for top plate
and 1” for sub floor bridging,
1” x 10' bridging per bay for
Window and door framing</t>
  </si>
  <si>
    <t>Wall-Outside Air Film(wntr)</t>
  </si>
  <si>
    <t> </t>
  </si>
  <si>
    <t>Cavity dim</t>
  </si>
  <si>
    <t>22.5” x 96”</t>
  </si>
  <si>
    <t>Siding – Hardboard</t>
  </si>
  <si>
    <t>Top/Bottom</t>
  </si>
  <si>
    <t>2” x 24” (2)</t>
  </si>
  <si>
    <t>Plywood Sheathing - 1/2"</t>
  </si>
  <si>
    <t>Wind/Door</t>
  </si>
  <si>
    <t>1” x 120”</t>
  </si>
  <si>
    <t>10" Cellulose</t>
  </si>
  <si>
    <t>Calc FF</t>
  </si>
  <si>
    <t>10" Thick Wood Bridging</t>
  </si>
  <si>
    <t>1/2" Drywall</t>
  </si>
  <si>
    <t>Inside Air Film</t>
  </si>
  <si>
    <t>Framing Factor</t>
  </si>
  <si>
    <t>Total Wall Component R</t>
  </si>
  <si>
    <t>Wall Component U</t>
  </si>
  <si>
    <t>Total Wall Assembly R</t>
  </si>
  <si>
    <t>Total Wall Assembly U</t>
  </si>
  <si>
    <t>Roof Assembly R Calcs</t>
  </si>
  <si>
    <t>Framing factor assumptions:
24” oc spacing of 14” TJI,
2” ridge board and blocking</t>
  </si>
  <si>
    <t>22.5” x 24'</t>
  </si>
  <si>
    <t>Siding –</t>
  </si>
  <si>
    <t>12" Fiberglass Batts</t>
  </si>
  <si>
    <t>14" Thick Wood Bridging</t>
  </si>
  <si>
    <t>Floor Assembly R Calcs</t>
  </si>
  <si>
    <t>Framing factor assumptions:
16” oc spacing of 9.5” TJI,
2” rim board and blocking.
Assume crawlspace insulation value
 X1.5 due to airspace</t>
  </si>
  <si>
    <t>14.5” x 18'</t>
  </si>
  <si>
    <t>2” x 16” (2)</t>
  </si>
  <si>
    <t>Plywood Sheathing – 7/8"</t>
  </si>
  <si>
    <t>North Wall</t>
  </si>
  <si>
    <t>Wall</t>
  </si>
  <si>
    <t>Thermal Brake</t>
  </si>
  <si>
    <t>W</t>
  </si>
  <si>
    <t>U-Factor</t>
  </si>
  <si>
    <t>SUM</t>
  </si>
  <si>
    <t>North Wall Assembly</t>
  </si>
  <si>
    <t>Floor area to Glazing</t>
  </si>
  <si>
    <t>Element</t>
  </si>
  <si>
    <t>Area * U-Factor</t>
  </si>
  <si>
    <t>Total Area</t>
  </si>
  <si>
    <t>Glazing %</t>
  </si>
  <si>
    <t>Average U-Factor</t>
  </si>
  <si>
    <t>Average R-</t>
  </si>
  <si>
    <t>South Walls</t>
  </si>
  <si>
    <t>South Walls Assembly</t>
  </si>
  <si>
    <t>East Wall</t>
  </si>
  <si>
    <t>East Wall Assembly</t>
  </si>
  <si>
    <t>West Walls</t>
  </si>
  <si>
    <t>West Wall Assembly</t>
  </si>
  <si>
    <t>Roof Assembly</t>
  </si>
  <si>
    <t>Floor Assembly</t>
  </si>
  <si>
    <t>House Complete Assembly</t>
  </si>
  <si>
    <t>Assembly</t>
  </si>
  <si>
    <t>N Wall</t>
  </si>
  <si>
    <t>S Wall</t>
  </si>
  <si>
    <t>E Wall</t>
  </si>
  <si>
    <t>W Wall</t>
  </si>
  <si>
    <t>Floor</t>
  </si>
  <si>
    <t>Heat Loss / Day / deg F</t>
  </si>
  <si>
    <t>Dewey HDD (65F)</t>
  </si>
  <si>
    <t>Yearly Heat</t>
  </si>
  <si>
    <t>Yearly Cool</t>
  </si>
  <si>
    <t>Electric Rate Calcs</t>
  </si>
  <si>
    <t>Design Day Calcs</t>
  </si>
  <si>
    <t>Water Storage Calcs</t>
  </si>
  <si>
    <t>1 kwhr =</t>
  </si>
  <si>
    <t>btu</t>
  </si>
  <si>
    <t>Design heat delta</t>
  </si>
  <si>
    <t>Water lb to gal</t>
  </si>
  <si>
    <t>On Peak $ / kwhr</t>
  </si>
  <si>
    <t>Design heat BTU / hr</t>
  </si>
  <si>
    <t>Heat loss / 7 hours / deg F</t>
  </si>
  <si>
    <t>Off Peak $ / kwhr</t>
  </si>
  <si>
    <t>Design cold delta</t>
  </si>
  <si>
    <t>Outside-Inside delta T</t>
  </si>
  <si>
    <t>Standard $ / kwhr</t>
  </si>
  <si>
    <t>Design cold BTU / hr</t>
  </si>
  <si>
    <t>Total Heat loss / 7 hours</t>
  </si>
  <si>
    <t>Design Cold Ton AC</t>
  </si>
  <si>
    <t>Heat storage delta T</t>
  </si>
  <si>
    <t>Winter COP</t>
  </si>
  <si>
    <t>Summer COP</t>
  </si>
  <si>
    <t xml:space="preserve">Gallons of water required </t>
  </si>
  <si>
    <t>Winter Cost</t>
  </si>
  <si>
    <t>Summer Cost</t>
  </si>
  <si>
    <t>Yearly Cost</t>
  </si>
  <si>
    <t>Average Cost / Month</t>
  </si>
  <si>
    <t>Small spare bedroom</t>
  </si>
  <si>
    <t>11.83x16.9</t>
  </si>
  <si>
    <t>Tom's room %</t>
  </si>
  <si>
    <t>percent of house</t>
  </si>
  <si>
    <t>cooling TON</t>
  </si>
  <si>
    <t>heat btu</t>
  </si>
  <si>
    <t>cooling BTU</t>
  </si>
  <si>
    <t>cold btu</t>
  </si>
  <si>
    <t>CX34 Chiller ODU up to 2 Tons Cooling, 3 Tons Heating DC Inverter Compressor, includes VSD Pump - See more at: http://www.chiltrix.com/documents/price-list.html#sthash.AR7G8kaA.dpuf</t>
  </si>
  <si>
    <t>CXI34 Indoor Unit up to 3,379 BTU Cooling/ 3,347 BTU Heating 120v DC Inverter 5.1" Thin - See more at: http://www.chiltrix.com/documents/price-list.html#sthash.AR7G8kaA.dpuf</t>
  </si>
  <si>
    <t>TABLE R301.2(1)</t>
  </si>
  <si>
    <t>CLIMATIC AND GEOGRAPHICAL DESIGN CRITERIA</t>
  </si>
  <si>
    <t>GROUND
SNOW
LOAD</t>
  </si>
  <si>
    <t>WIND DESIGN</t>
  </si>
  <si>
    <r>
      <t>SEISMIC
DESIGN
CATEGORY</t>
    </r>
    <r>
      <rPr>
        <b/>
        <vertAlign val="superscript"/>
        <sz val="10"/>
        <rFont val="Arial"/>
        <family val="2"/>
      </rPr>
      <t>f</t>
    </r>
  </si>
  <si>
    <r>
      <t>Weathering</t>
    </r>
    <r>
      <rPr>
        <b/>
        <vertAlign val="superscript"/>
        <sz val="10"/>
        <rFont val="Arial"/>
        <family val="2"/>
      </rPr>
      <t>a</t>
    </r>
  </si>
  <si>
    <r>
      <t>Frost line
depth</t>
    </r>
    <r>
      <rPr>
        <b/>
        <vertAlign val="superscript"/>
        <sz val="10"/>
        <rFont val="Arial"/>
        <family val="2"/>
      </rPr>
      <t>b</t>
    </r>
  </si>
  <si>
    <r>
      <t>Termite</t>
    </r>
    <r>
      <rPr>
        <b/>
        <vertAlign val="superscript"/>
        <sz val="10"/>
        <rFont val="Arial"/>
        <family val="2"/>
      </rPr>
      <t>c</t>
    </r>
  </si>
  <si>
    <r>
      <t>WINTER
DESIGN
TEMP</t>
    </r>
    <r>
      <rPr>
        <b/>
        <vertAlign val="superscript"/>
        <sz val="10"/>
        <rFont val="Arial"/>
        <family val="2"/>
      </rPr>
      <t>e</t>
    </r>
  </si>
  <si>
    <r>
      <t>ICE BARRIER
UNDERLAYMENT
REQUIRED</t>
    </r>
    <r>
      <rPr>
        <b/>
        <vertAlign val="superscript"/>
        <sz val="10"/>
        <rFont val="Arial"/>
        <family val="2"/>
      </rPr>
      <t>h</t>
    </r>
  </si>
  <si>
    <r>
      <t>FLOOD
HAZARDS</t>
    </r>
    <r>
      <rPr>
        <b/>
        <vertAlign val="superscript"/>
        <sz val="10"/>
        <rFont val="Arial"/>
        <family val="2"/>
      </rPr>
      <t>h</t>
    </r>
  </si>
  <si>
    <r>
      <t>AIR
FREEXING
INDEX</t>
    </r>
    <r>
      <rPr>
        <b/>
        <vertAlign val="superscript"/>
        <sz val="10"/>
        <rFont val="Arial"/>
        <family val="2"/>
      </rPr>
      <t>i</t>
    </r>
  </si>
  <si>
    <r>
      <t>MEAN
ANNUAL
TEMP</t>
    </r>
    <r>
      <rPr>
        <b/>
        <vertAlign val="superscript"/>
        <sz val="10"/>
        <rFont val="Arial"/>
        <family val="2"/>
      </rPr>
      <t>j</t>
    </r>
  </si>
  <si>
    <t>SPEED (mph)</t>
  </si>
  <si>
    <r>
      <t>Topographical
Effects</t>
    </r>
    <r>
      <rPr>
        <b/>
        <vertAlign val="superscript"/>
        <sz val="10"/>
        <rFont val="Arial"/>
        <family val="2"/>
      </rPr>
      <t>k</t>
    </r>
  </si>
  <si>
    <t>30psf</t>
  </si>
  <si>
    <t>90 exp C</t>
  </si>
  <si>
    <t>NEGLIGABLE</t>
  </si>
  <si>
    <t>No</t>
  </si>
  <si>
    <r>
      <t xml:space="preserve">For SI: 1 </t>
    </r>
    <r>
      <rPr>
        <sz val="7.5"/>
        <rFont val="Arial"/>
        <family val="2"/>
      </rPr>
      <t xml:space="preserve">pound </t>
    </r>
    <r>
      <rPr>
        <sz val="7"/>
        <rFont val="Arial"/>
        <family val="2"/>
      </rPr>
      <t xml:space="preserve">per </t>
    </r>
    <r>
      <rPr>
        <sz val="7.5"/>
        <rFont val="Arial"/>
        <family val="2"/>
      </rPr>
      <t xml:space="preserve">square </t>
    </r>
    <r>
      <rPr>
        <sz val="7"/>
        <rFont val="Arial"/>
        <family val="2"/>
      </rPr>
      <t xml:space="preserve">foot </t>
    </r>
    <r>
      <rPr>
        <sz val="4"/>
        <rFont val="Arial"/>
        <family val="2"/>
      </rPr>
      <t xml:space="preserve">- </t>
    </r>
    <r>
      <rPr>
        <sz val="7.5"/>
        <rFont val="Arial"/>
        <family val="2"/>
      </rPr>
      <t xml:space="preserve">0.0479 </t>
    </r>
    <r>
      <rPr>
        <sz val="7"/>
        <rFont val="Arial"/>
        <family val="2"/>
      </rPr>
      <t xml:space="preserve">kPa, I </t>
    </r>
    <r>
      <rPr>
        <sz val="7.5"/>
        <rFont val="Arial"/>
        <family val="2"/>
      </rPr>
      <t xml:space="preserve">mile </t>
    </r>
    <r>
      <rPr>
        <sz val="7"/>
        <rFont val="Arial"/>
        <family val="2"/>
      </rPr>
      <t xml:space="preserve">per hour = </t>
    </r>
    <r>
      <rPr>
        <sz val="7.5"/>
        <rFont val="Arial"/>
        <family val="2"/>
      </rPr>
      <t xml:space="preserve">0.447 </t>
    </r>
    <r>
      <rPr>
        <sz val="7"/>
        <rFont val="Arial"/>
        <family val="2"/>
      </rPr>
      <t xml:space="preserve">m/s.
a. </t>
    </r>
    <r>
      <rPr>
        <sz val="8"/>
        <rFont val="Arial"/>
        <family val="2"/>
      </rPr>
      <t xml:space="preserve">Weathering </t>
    </r>
    <r>
      <rPr>
        <sz val="7.5"/>
        <rFont val="Arial"/>
        <family val="2"/>
      </rPr>
      <t xml:space="preserve">may require </t>
    </r>
    <r>
      <rPr>
        <sz val="6.5"/>
        <rFont val="Arial"/>
        <family val="2"/>
      </rPr>
      <t xml:space="preserve">a </t>
    </r>
    <r>
      <rPr>
        <sz val="8"/>
        <rFont val="Arial"/>
        <family val="2"/>
      </rPr>
      <t xml:space="preserve">higher </t>
    </r>
    <r>
      <rPr>
        <sz val="7.5"/>
        <rFont val="Arial"/>
        <family val="2"/>
      </rPr>
      <t xml:space="preserve">strength </t>
    </r>
    <r>
      <rPr>
        <sz val="6.5"/>
        <rFont val="Arial"/>
        <family val="2"/>
      </rPr>
      <t xml:space="preserve">concrete or </t>
    </r>
    <r>
      <rPr>
        <sz val="7.5"/>
        <rFont val="Arial"/>
        <family val="2"/>
      </rPr>
      <t xml:space="preserve">grade of </t>
    </r>
    <r>
      <rPr>
        <sz val="7"/>
        <rFont val="Arial"/>
        <family val="2"/>
      </rPr>
      <t xml:space="preserve">masonry than </t>
    </r>
    <r>
      <rPr>
        <sz val="7.5"/>
        <rFont val="Arial"/>
        <family val="2"/>
      </rPr>
      <t xml:space="preserve">necessary </t>
    </r>
    <r>
      <rPr>
        <sz val="6"/>
        <rFont val="Arial"/>
        <family val="2"/>
      </rPr>
      <t xml:space="preserve">to </t>
    </r>
    <r>
      <rPr>
        <sz val="7.5"/>
        <rFont val="Arial"/>
        <family val="2"/>
      </rPr>
      <t xml:space="preserve">satisfy the structural </t>
    </r>
    <r>
      <rPr>
        <sz val="8"/>
        <rFont val="Arial"/>
        <family val="2"/>
      </rPr>
      <t xml:space="preserve">requirements </t>
    </r>
    <r>
      <rPr>
        <sz val="7.5"/>
        <rFont val="Arial"/>
        <family val="2"/>
      </rPr>
      <t xml:space="preserve">of this code. The </t>
    </r>
    <r>
      <rPr>
        <sz val="8"/>
        <rFont val="Arial"/>
        <family val="2"/>
      </rPr>
      <t xml:space="preserve">weathering
</t>
    </r>
    <r>
      <rPr>
        <sz val="7.5"/>
        <rFont val="Arial"/>
        <family val="2"/>
      </rPr>
      <t xml:space="preserve">column shall </t>
    </r>
    <r>
      <rPr>
        <sz val="7"/>
        <rFont val="Arial"/>
        <family val="2"/>
      </rPr>
      <t xml:space="preserve">be </t>
    </r>
    <r>
      <rPr>
        <sz val="7.5"/>
        <rFont val="Arial"/>
        <family val="2"/>
      </rPr>
      <t xml:space="preserve">filled in with </t>
    </r>
    <r>
      <rPr>
        <sz val="7"/>
        <rFont val="Arial"/>
        <family val="2"/>
      </rPr>
      <t xml:space="preserve">the </t>
    </r>
    <r>
      <rPr>
        <sz val="7.5"/>
        <rFont val="Arial"/>
        <family val="2"/>
      </rPr>
      <t xml:space="preserve">weathering index </t>
    </r>
    <r>
      <rPr>
        <sz val="7"/>
        <rFont val="Arial"/>
        <family val="2"/>
      </rPr>
      <t xml:space="preserve">(i.e., </t>
    </r>
    <r>
      <rPr>
        <sz val="7.5"/>
        <rFont val="Arial"/>
        <family val="2"/>
      </rPr>
      <t xml:space="preserve">"negligible," "moderate" </t>
    </r>
    <r>
      <rPr>
        <sz val="7"/>
        <rFont val="Arial"/>
        <family val="2"/>
      </rPr>
      <t xml:space="preserve">or </t>
    </r>
    <r>
      <rPr>
        <sz val="6.5"/>
        <rFont val="Arial"/>
        <family val="2"/>
      </rPr>
      <t xml:space="preserve">"severe") </t>
    </r>
    <r>
      <rPr>
        <sz val="7.5"/>
        <rFont val="Arial"/>
        <family val="2"/>
      </rPr>
      <t xml:space="preserve">for </t>
    </r>
    <r>
      <rPr>
        <sz val="6.5"/>
        <rFont val="Arial"/>
        <family val="2"/>
      </rPr>
      <t xml:space="preserve">concrete </t>
    </r>
    <r>
      <rPr>
        <sz val="7"/>
        <rFont val="Arial"/>
        <family val="2"/>
      </rPr>
      <t xml:space="preserve">as </t>
    </r>
    <r>
      <rPr>
        <sz val="7.5"/>
        <rFont val="Arial"/>
        <family val="2"/>
      </rPr>
      <t xml:space="preserve">determined from the Weathering </t>
    </r>
    <r>
      <rPr>
        <sz val="8"/>
        <rFont val="Arial"/>
        <family val="2"/>
      </rPr>
      <t xml:space="preserve">Probability
</t>
    </r>
    <r>
      <rPr>
        <sz val="7.5"/>
        <rFont val="Arial"/>
        <family val="2"/>
      </rPr>
      <t>Map [Figure R301</t>
    </r>
    <r>
      <rPr>
        <sz val="7"/>
        <rFont val="Arial"/>
        <family val="2"/>
      </rPr>
      <t xml:space="preserve">.2(3)]. The </t>
    </r>
    <r>
      <rPr>
        <sz val="7.5"/>
        <rFont val="Arial"/>
        <family val="2"/>
      </rPr>
      <t xml:space="preserve">grade of </t>
    </r>
    <r>
      <rPr>
        <sz val="7"/>
        <rFont val="Arial"/>
        <family val="2"/>
      </rPr>
      <t xml:space="preserve">masonry units </t>
    </r>
    <r>
      <rPr>
        <sz val="7.5"/>
        <rFont val="Arial"/>
        <family val="2"/>
      </rPr>
      <t xml:space="preserve">shall </t>
    </r>
    <r>
      <rPr>
        <sz val="7"/>
        <rFont val="Arial"/>
        <family val="2"/>
      </rPr>
      <t xml:space="preserve">be </t>
    </r>
    <r>
      <rPr>
        <sz val="7.5"/>
        <rFont val="Arial"/>
        <family val="2"/>
      </rPr>
      <t xml:space="preserve">determined </t>
    </r>
    <r>
      <rPr>
        <sz val="7"/>
        <rFont val="Arial"/>
        <family val="2"/>
      </rPr>
      <t xml:space="preserve">from </t>
    </r>
    <r>
      <rPr>
        <sz val="7.5"/>
        <rFont val="Arial"/>
        <family val="2"/>
      </rPr>
      <t xml:space="preserve">ASTM C </t>
    </r>
    <r>
      <rPr>
        <sz val="7"/>
        <rFont val="Arial"/>
        <family val="2"/>
      </rPr>
      <t xml:space="preserve">34, C </t>
    </r>
    <r>
      <rPr>
        <sz val="7.5"/>
        <rFont val="Arial"/>
        <family val="2"/>
      </rPr>
      <t xml:space="preserve">55, C 62, C 73, </t>
    </r>
    <r>
      <rPr>
        <sz val="7"/>
        <rFont val="Arial"/>
        <family val="2"/>
      </rPr>
      <t xml:space="preserve">C </t>
    </r>
    <r>
      <rPr>
        <sz val="7.5"/>
        <rFont val="Arial"/>
        <family val="2"/>
      </rPr>
      <t xml:space="preserve">90, C </t>
    </r>
    <r>
      <rPr>
        <sz val="7"/>
        <rFont val="Arial"/>
        <family val="2"/>
      </rPr>
      <t>1</t>
    </r>
    <r>
      <rPr>
        <sz val="7.5"/>
        <rFont val="Arial"/>
        <family val="2"/>
      </rPr>
      <t>29, C 145,</t>
    </r>
    <r>
      <rPr>
        <sz val="7"/>
        <rFont val="Arial"/>
        <family val="2"/>
      </rPr>
      <t xml:space="preserve">C </t>
    </r>
    <r>
      <rPr>
        <sz val="7.5"/>
        <rFont val="Arial"/>
        <family val="2"/>
      </rPr>
      <t xml:space="preserve">216 </t>
    </r>
    <r>
      <rPr>
        <sz val="7"/>
        <rFont val="Arial"/>
        <family val="2"/>
      </rPr>
      <t xml:space="preserve">or </t>
    </r>
    <r>
      <rPr>
        <sz val="7.5"/>
        <rFont val="Arial"/>
        <family val="2"/>
      </rPr>
      <t xml:space="preserve">C 652.
b. </t>
    </r>
    <r>
      <rPr>
        <sz val="8"/>
        <rFont val="Arial"/>
        <family val="2"/>
      </rPr>
      <t xml:space="preserve">The </t>
    </r>
    <r>
      <rPr>
        <sz val="7.5"/>
        <rFont val="Arial"/>
        <family val="2"/>
      </rPr>
      <t xml:space="preserve">frost line </t>
    </r>
    <r>
      <rPr>
        <sz val="8"/>
        <rFont val="Arial"/>
        <family val="2"/>
      </rPr>
      <t xml:space="preserve">depth </t>
    </r>
    <r>
      <rPr>
        <sz val="7.5"/>
        <rFont val="Arial"/>
        <family val="2"/>
      </rPr>
      <t xml:space="preserve">may require deeper footings than indicated </t>
    </r>
    <r>
      <rPr>
        <sz val="8"/>
        <rFont val="Arial"/>
        <family val="2"/>
      </rPr>
      <t xml:space="preserve">in </t>
    </r>
    <r>
      <rPr>
        <sz val="7.5"/>
        <rFont val="Arial"/>
        <family val="2"/>
      </rPr>
      <t xml:space="preserve">Figure R403.1(1). The </t>
    </r>
    <r>
      <rPr>
        <sz val="8"/>
        <rFont val="Arial"/>
        <family val="2"/>
      </rPr>
      <t xml:space="preserve">jurisdiction </t>
    </r>
    <r>
      <rPr>
        <sz val="7.5"/>
        <rFont val="Arial"/>
        <family val="2"/>
      </rPr>
      <t xml:space="preserve">shall fill </t>
    </r>
    <r>
      <rPr>
        <sz val="8"/>
        <rFont val="Arial"/>
        <family val="2"/>
      </rPr>
      <t xml:space="preserve">in </t>
    </r>
    <r>
      <rPr>
        <sz val="7.5"/>
        <rFont val="Arial"/>
        <family val="2"/>
      </rPr>
      <t xml:space="preserve">the frost line depth column with the minimum
depth of footing below finish grade.
c. </t>
    </r>
    <r>
      <rPr>
        <sz val="8"/>
        <rFont val="Arial"/>
        <family val="2"/>
      </rPr>
      <t xml:space="preserve">Thejurisdiction </t>
    </r>
    <r>
      <rPr>
        <sz val="7.5"/>
        <rFont val="Arial"/>
        <family val="2"/>
      </rPr>
      <t xml:space="preserve">shall fill in this </t>
    </r>
    <r>
      <rPr>
        <sz val="7"/>
        <rFont val="Arial"/>
        <family val="2"/>
      </rPr>
      <t xml:space="preserve">part </t>
    </r>
    <r>
      <rPr>
        <sz val="8"/>
        <rFont val="Arial"/>
        <family val="2"/>
      </rPr>
      <t xml:space="preserve">of </t>
    </r>
    <r>
      <rPr>
        <sz val="7.5"/>
        <rFont val="Arial"/>
        <family val="2"/>
      </rPr>
      <t xml:space="preserve">the table </t>
    </r>
    <r>
      <rPr>
        <sz val="6.5"/>
        <rFont val="Arial"/>
        <family val="2"/>
      </rPr>
      <t xml:space="preserve">to </t>
    </r>
    <r>
      <rPr>
        <sz val="7.5"/>
        <rFont val="Arial"/>
        <family val="2"/>
      </rPr>
      <t xml:space="preserve">indicate the need for protection </t>
    </r>
    <r>
      <rPr>
        <sz val="8"/>
        <rFont val="Arial"/>
        <family val="2"/>
      </rPr>
      <t xml:space="preserve">depending </t>
    </r>
    <r>
      <rPr>
        <sz val="7"/>
        <rFont val="Arial"/>
        <family val="2"/>
      </rPr>
      <t xml:space="preserve">on </t>
    </r>
    <r>
      <rPr>
        <sz val="7.5"/>
        <rFont val="Arial"/>
        <family val="2"/>
      </rPr>
      <t xml:space="preserve">whether there has been a history of local subterranean termite
</t>
    </r>
    <r>
      <rPr>
        <sz val="8"/>
        <rFont val="Arial"/>
        <family val="2"/>
      </rPr>
      <t xml:space="preserve">damage.
</t>
    </r>
    <r>
      <rPr>
        <sz val="7.5"/>
        <rFont val="Arial"/>
        <family val="2"/>
      </rPr>
      <t xml:space="preserve">d. The jurisdiction shall fill in this </t>
    </r>
    <r>
      <rPr>
        <sz val="7"/>
        <rFont val="Arial"/>
        <family val="2"/>
      </rPr>
      <t xml:space="preserve">part </t>
    </r>
    <r>
      <rPr>
        <sz val="7.5"/>
        <rFont val="Arial"/>
        <family val="2"/>
      </rPr>
      <t xml:space="preserve">of the table with the wind speed from the basic wind speed map </t>
    </r>
    <r>
      <rPr>
        <sz val="8"/>
        <rFont val="Arial"/>
        <family val="2"/>
      </rPr>
      <t xml:space="preserve">[Figure </t>
    </r>
    <r>
      <rPr>
        <sz val="7"/>
        <rFont val="Arial"/>
        <family val="2"/>
      </rPr>
      <t xml:space="preserve">R301.2(4)A], </t>
    </r>
    <r>
      <rPr>
        <sz val="7.5"/>
        <rFont val="Arial"/>
        <family val="2"/>
      </rPr>
      <t xml:space="preserve">Wind exposure </t>
    </r>
    <r>
      <rPr>
        <sz val="6.5"/>
        <rFont val="Arial"/>
        <family val="2"/>
      </rPr>
      <t xml:space="preserve">category </t>
    </r>
    <r>
      <rPr>
        <sz val="7.5"/>
        <rFont val="Arial"/>
        <family val="2"/>
      </rPr>
      <t xml:space="preserve">shall be
determined on a </t>
    </r>
    <r>
      <rPr>
        <sz val="8"/>
        <rFont val="Arial"/>
        <family val="2"/>
      </rPr>
      <t xml:space="preserve">site-specific basis </t>
    </r>
    <r>
      <rPr>
        <sz val="7.5"/>
        <rFont val="Arial"/>
        <family val="2"/>
      </rPr>
      <t xml:space="preserve">in accordance with </t>
    </r>
    <r>
      <rPr>
        <sz val="8"/>
        <rFont val="Arial"/>
        <family val="2"/>
      </rPr>
      <t>Section R301.2.1</t>
    </r>
    <r>
      <rPr>
        <sz val="7.5"/>
        <rFont val="Arial"/>
        <family val="2"/>
      </rPr>
      <t xml:space="preserve">.4.
e. The outdoor design </t>
    </r>
    <r>
      <rPr>
        <sz val="8"/>
        <rFont val="Arial"/>
        <family val="2"/>
      </rPr>
      <t xml:space="preserve">dry-bulb </t>
    </r>
    <r>
      <rPr>
        <sz val="7"/>
        <rFont val="Arial"/>
        <family val="2"/>
      </rPr>
      <t xml:space="preserve">temperature </t>
    </r>
    <r>
      <rPr>
        <sz val="7.5"/>
        <rFont val="Arial"/>
        <family val="2"/>
      </rPr>
      <t xml:space="preserve">shall be selected from the columns of </t>
    </r>
    <r>
      <rPr>
        <sz val="9"/>
        <rFont val="Arial"/>
        <family val="2"/>
      </rPr>
      <t xml:space="preserve">9772-percent </t>
    </r>
    <r>
      <rPr>
        <sz val="8"/>
        <rFont val="Arial"/>
        <family val="2"/>
      </rPr>
      <t xml:space="preserve">values </t>
    </r>
    <r>
      <rPr>
        <sz val="7.5"/>
        <rFont val="Arial"/>
        <family val="2"/>
      </rPr>
      <t xml:space="preserve">for </t>
    </r>
    <r>
      <rPr>
        <sz val="8"/>
        <rFont val="Arial"/>
        <family val="2"/>
      </rPr>
      <t xml:space="preserve">winter </t>
    </r>
    <r>
      <rPr>
        <sz val="7.5"/>
        <rFont val="Arial"/>
        <family val="2"/>
      </rPr>
      <t xml:space="preserve">from Appendix </t>
    </r>
    <r>
      <rPr>
        <sz val="8"/>
        <rFont val="Arial"/>
        <family val="2"/>
      </rPr>
      <t>D</t>
    </r>
    <r>
      <rPr>
        <sz val="7.5"/>
        <rFont val="Arial"/>
        <family val="2"/>
      </rPr>
      <t>of the International</t>
    </r>
    <r>
      <rPr>
        <sz val="8"/>
        <rFont val="Arial"/>
        <family val="2"/>
      </rPr>
      <t xml:space="preserve">Plumbing
</t>
    </r>
    <r>
      <rPr>
        <sz val="7.5"/>
        <rFont val="Arial"/>
        <family val="2"/>
      </rPr>
      <t xml:space="preserve">Code. Deviations from the </t>
    </r>
    <r>
      <rPr>
        <sz val="8"/>
        <rFont val="Arial"/>
        <family val="2"/>
      </rPr>
      <t xml:space="preserve">Appendix </t>
    </r>
    <r>
      <rPr>
        <sz val="7.5"/>
        <rFont val="Arial"/>
        <family val="2"/>
      </rPr>
      <t xml:space="preserve">D </t>
    </r>
    <r>
      <rPr>
        <sz val="7"/>
        <rFont val="Arial"/>
        <family val="2"/>
      </rPr>
      <t xml:space="preserve">temperatures </t>
    </r>
    <r>
      <rPr>
        <sz val="7.5"/>
        <rFont val="Arial"/>
        <family val="2"/>
      </rPr>
      <t xml:space="preserve">shall be permitted </t>
    </r>
    <r>
      <rPr>
        <sz val="6.5"/>
        <rFont val="Arial"/>
        <family val="2"/>
      </rPr>
      <t xml:space="preserve">to </t>
    </r>
    <r>
      <rPr>
        <sz val="7.5"/>
        <rFont val="Arial"/>
        <family val="2"/>
      </rPr>
      <t xml:space="preserve">reflect local climates or local weather experience </t>
    </r>
    <r>
      <rPr>
        <sz val="7"/>
        <rFont val="Arial"/>
        <family val="2"/>
      </rPr>
      <t xml:space="preserve">as </t>
    </r>
    <r>
      <rPr>
        <sz val="8"/>
        <rFont val="Arial"/>
        <family val="2"/>
      </rPr>
      <t xml:space="preserve">determined by </t>
    </r>
    <r>
      <rPr>
        <sz val="7.5"/>
        <rFont val="Arial"/>
        <family val="2"/>
      </rPr>
      <t xml:space="preserve">the </t>
    </r>
    <r>
      <rPr>
        <sz val="8"/>
        <rFont val="Arial"/>
        <family val="2"/>
      </rPr>
      <t xml:space="preserve">building
official.
</t>
    </r>
    <r>
      <rPr>
        <sz val="7"/>
        <rFont val="Arial"/>
        <family val="2"/>
      </rPr>
      <t xml:space="preserve">f. The </t>
    </r>
    <r>
      <rPr>
        <sz val="7.5"/>
        <rFont val="Arial"/>
        <family val="2"/>
      </rPr>
      <t xml:space="preserve">jurisdiction shall fill in </t>
    </r>
    <r>
      <rPr>
        <sz val="7"/>
        <rFont val="Arial"/>
        <family val="2"/>
      </rPr>
      <t xml:space="preserve">this part </t>
    </r>
    <r>
      <rPr>
        <sz val="7.5"/>
        <rFont val="Arial"/>
        <family val="2"/>
      </rPr>
      <t xml:space="preserve">of the table </t>
    </r>
    <r>
      <rPr>
        <sz val="7"/>
        <rFont val="Arial"/>
        <family val="2"/>
      </rPr>
      <t xml:space="preserve">with </t>
    </r>
    <r>
      <rPr>
        <sz val="7.5"/>
        <rFont val="Arial"/>
        <family val="2"/>
      </rPr>
      <t xml:space="preserve">the seismic design </t>
    </r>
    <r>
      <rPr>
        <sz val="6.5"/>
        <rFont val="Arial"/>
        <family val="2"/>
      </rPr>
      <t xml:space="preserve">category </t>
    </r>
    <r>
      <rPr>
        <sz val="7.5"/>
        <rFont val="Arial"/>
        <family val="2"/>
      </rPr>
      <t xml:space="preserve">determined from Section R301.2.2.1.
g. The </t>
    </r>
    <r>
      <rPr>
        <sz val="8"/>
        <rFont val="Arial"/>
        <family val="2"/>
      </rPr>
      <t xml:space="preserve">jurisdiction </t>
    </r>
    <r>
      <rPr>
        <sz val="7.5"/>
        <rFont val="Arial"/>
        <family val="2"/>
      </rPr>
      <t xml:space="preserve">shall fill in this </t>
    </r>
    <r>
      <rPr>
        <sz val="7"/>
        <rFont val="Arial"/>
        <family val="2"/>
      </rPr>
      <t xml:space="preserve">part </t>
    </r>
    <r>
      <rPr>
        <sz val="7.5"/>
        <rFont val="Arial"/>
        <family val="2"/>
      </rPr>
      <t xml:space="preserve">of the table with (a) the date of the </t>
    </r>
    <r>
      <rPr>
        <sz val="8"/>
        <rFont val="Arial"/>
        <family val="2"/>
      </rPr>
      <t xml:space="preserve">jurisdiction's </t>
    </r>
    <r>
      <rPr>
        <sz val="7"/>
        <rFont val="Arial"/>
        <family val="2"/>
      </rPr>
      <t xml:space="preserve">entry </t>
    </r>
    <r>
      <rPr>
        <sz val="7.5"/>
        <rFont val="Arial"/>
        <family val="2"/>
      </rPr>
      <t xml:space="preserve">into the National FloodInsurance Program (date of </t>
    </r>
    <r>
      <rPr>
        <sz val="8"/>
        <rFont val="Arial"/>
        <family val="2"/>
      </rPr>
      <t xml:space="preserve">adoption </t>
    </r>
    <r>
      <rPr>
        <sz val="7.5"/>
        <rFont val="Arial"/>
        <family val="2"/>
      </rPr>
      <t xml:space="preserve">of the
first code or ordinance </t>
    </r>
    <r>
      <rPr>
        <sz val="8"/>
        <rFont val="Arial"/>
        <family val="2"/>
      </rPr>
      <t xml:space="preserve">for </t>
    </r>
    <r>
      <rPr>
        <sz val="6.5"/>
        <rFont val="Arial"/>
        <family val="2"/>
      </rPr>
      <t xml:space="preserve">management </t>
    </r>
    <r>
      <rPr>
        <sz val="7.5"/>
        <rFont val="Arial"/>
        <family val="2"/>
      </rPr>
      <t xml:space="preserve">of flood hazard </t>
    </r>
    <r>
      <rPr>
        <sz val="7"/>
        <rFont val="Arial"/>
        <family val="2"/>
      </rPr>
      <t xml:space="preserve">areas), (b) </t>
    </r>
    <r>
      <rPr>
        <sz val="7.5"/>
        <rFont val="Arial"/>
        <family val="2"/>
      </rPr>
      <t xml:space="preserve">the date(s) of the Flood Insurance Study and </t>
    </r>
    <r>
      <rPr>
        <sz val="7"/>
        <rFont val="Arial"/>
        <family val="2"/>
      </rPr>
      <t xml:space="preserve">(c) </t>
    </r>
    <r>
      <rPr>
        <sz val="7.5"/>
        <rFont val="Arial"/>
        <family val="2"/>
      </rPr>
      <t xml:space="preserve">the panel numbers and dates of all </t>
    </r>
    <r>
      <rPr>
        <sz val="7"/>
        <rFont val="Arial"/>
        <family val="2"/>
      </rPr>
      <t xml:space="preserve">currently
</t>
    </r>
    <r>
      <rPr>
        <sz val="7.5"/>
        <rFont val="Arial"/>
        <family val="2"/>
      </rPr>
      <t xml:space="preserve">effective FIRMs and FBFMs or other </t>
    </r>
    <r>
      <rPr>
        <sz val="8"/>
        <rFont val="Arial"/>
        <family val="2"/>
      </rPr>
      <t xml:space="preserve">flood </t>
    </r>
    <r>
      <rPr>
        <sz val="7.5"/>
        <rFont val="Arial"/>
        <family val="2"/>
      </rPr>
      <t xml:space="preserve">hazard map adopted by the </t>
    </r>
    <r>
      <rPr>
        <sz val="8"/>
        <rFont val="Arial"/>
        <family val="2"/>
      </rPr>
      <t xml:space="preserve">authority having jurisdiction, </t>
    </r>
    <r>
      <rPr>
        <sz val="7"/>
        <rFont val="Arial"/>
        <family val="2"/>
      </rPr>
      <t xml:space="preserve">as </t>
    </r>
    <r>
      <rPr>
        <sz val="7.5"/>
        <rFont val="Arial"/>
        <family val="2"/>
      </rPr>
      <t xml:space="preserve">amended.
</t>
    </r>
    <r>
      <rPr>
        <sz val="8"/>
        <rFont val="Arial"/>
        <family val="2"/>
      </rPr>
      <t xml:space="preserve">h. </t>
    </r>
    <r>
      <rPr>
        <sz val="7.5"/>
        <rFont val="Arial"/>
        <family val="2"/>
      </rPr>
      <t>In</t>
    </r>
    <r>
      <rPr>
        <sz val="8"/>
        <rFont val="Arial"/>
        <family val="2"/>
      </rPr>
      <t xml:space="preserve">accordance </t>
    </r>
    <r>
      <rPr>
        <sz val="7.5"/>
        <rFont val="Arial"/>
        <family val="2"/>
      </rPr>
      <t xml:space="preserve">with </t>
    </r>
    <r>
      <rPr>
        <sz val="8"/>
        <rFont val="Arial"/>
        <family val="2"/>
      </rPr>
      <t xml:space="preserve">Sections </t>
    </r>
    <r>
      <rPr>
        <sz val="7.5"/>
        <rFont val="Arial"/>
        <family val="2"/>
      </rPr>
      <t>R905.2.7.1,</t>
    </r>
    <r>
      <rPr>
        <sz val="8"/>
        <rFont val="Arial"/>
        <family val="2"/>
      </rPr>
      <t xml:space="preserve">R905.4.3.1, </t>
    </r>
    <r>
      <rPr>
        <sz val="7.5"/>
        <rFont val="Arial"/>
        <family val="2"/>
      </rPr>
      <t>R905.5.3.1</t>
    </r>
    <r>
      <rPr>
        <sz val="8"/>
        <rFont val="Arial"/>
        <family val="2"/>
      </rPr>
      <t>,R905.6.3.</t>
    </r>
    <r>
      <rPr>
        <sz val="7.5"/>
        <rFont val="Arial"/>
        <family val="2"/>
      </rPr>
      <t xml:space="preserve">1, </t>
    </r>
    <r>
      <rPr>
        <sz val="8"/>
        <rFont val="Arial"/>
        <family val="2"/>
      </rPr>
      <t>R905.7.3.</t>
    </r>
    <r>
      <rPr>
        <sz val="7.5"/>
        <rFont val="Arial"/>
        <family val="2"/>
      </rPr>
      <t xml:space="preserve">1 </t>
    </r>
    <r>
      <rPr>
        <sz val="8"/>
        <rFont val="Arial"/>
        <family val="2"/>
      </rPr>
      <t>and R905.8.3.</t>
    </r>
    <r>
      <rPr>
        <sz val="7.5"/>
        <rFont val="Arial"/>
        <family val="2"/>
      </rPr>
      <t xml:space="preserve">1, where there has been </t>
    </r>
    <r>
      <rPr>
        <sz val="6.5"/>
        <rFont val="Arial"/>
        <family val="2"/>
      </rPr>
      <t xml:space="preserve">a </t>
    </r>
    <r>
      <rPr>
        <sz val="8"/>
        <rFont val="Arial"/>
        <family val="2"/>
      </rPr>
      <t xml:space="preserve">history </t>
    </r>
    <r>
      <rPr>
        <sz val="7.5"/>
        <rFont val="Arial"/>
        <family val="2"/>
      </rPr>
      <t xml:space="preserve">of local damage from
the effects of </t>
    </r>
    <r>
      <rPr>
        <sz val="7"/>
        <rFont val="Arial"/>
        <family val="2"/>
      </rPr>
      <t xml:space="preserve">ice </t>
    </r>
    <r>
      <rPr>
        <sz val="7.5"/>
        <rFont val="Arial"/>
        <family val="2"/>
      </rPr>
      <t xml:space="preserve">damming, </t>
    </r>
    <r>
      <rPr>
        <sz val="7"/>
        <rFont val="Arial"/>
        <family val="2"/>
      </rPr>
      <t xml:space="preserve">the </t>
    </r>
    <r>
      <rPr>
        <sz val="7.5"/>
        <rFont val="Arial"/>
        <family val="2"/>
      </rPr>
      <t xml:space="preserve">jurisdiction shall </t>
    </r>
    <r>
      <rPr>
        <sz val="7"/>
        <rFont val="Arial"/>
        <family val="2"/>
      </rPr>
      <t xml:space="preserve">fill </t>
    </r>
    <r>
      <rPr>
        <sz val="7.5"/>
        <rFont val="Arial"/>
        <family val="2"/>
      </rPr>
      <t xml:space="preserve">in this </t>
    </r>
    <r>
      <rPr>
        <sz val="6.5"/>
        <rFont val="Arial"/>
        <family val="2"/>
      </rPr>
      <t xml:space="preserve">part </t>
    </r>
    <r>
      <rPr>
        <sz val="7"/>
        <rFont val="Arial"/>
        <family val="2"/>
      </rPr>
      <t xml:space="preserve">of the table </t>
    </r>
    <r>
      <rPr>
        <sz val="7.5"/>
        <rFont val="Arial"/>
        <family val="2"/>
      </rPr>
      <t xml:space="preserve">with </t>
    </r>
    <r>
      <rPr>
        <sz val="7"/>
        <rFont val="Arial"/>
        <family val="2"/>
      </rPr>
      <t xml:space="preserve">"YES." </t>
    </r>
    <r>
      <rPr>
        <sz val="7.5"/>
        <rFont val="Arial"/>
        <family val="2"/>
      </rPr>
      <t xml:space="preserve">Otherwise, the jurisdiction </t>
    </r>
    <r>
      <rPr>
        <sz val="7"/>
        <rFont val="Arial"/>
        <family val="2"/>
      </rPr>
      <t xml:space="preserve">shall fill </t>
    </r>
    <r>
      <rPr>
        <sz val="7.5"/>
        <rFont val="Arial"/>
        <family val="2"/>
      </rPr>
      <t xml:space="preserve">in this </t>
    </r>
    <r>
      <rPr>
        <sz val="6.5"/>
        <rFont val="Arial"/>
        <family val="2"/>
      </rPr>
      <t xml:space="preserve">part </t>
    </r>
    <r>
      <rPr>
        <sz val="7.5"/>
        <rFont val="Arial"/>
        <family val="2"/>
      </rPr>
      <t xml:space="preserve">of the table with </t>
    </r>
    <r>
      <rPr>
        <sz val="7"/>
        <rFont val="Arial"/>
        <family val="2"/>
      </rPr>
      <t xml:space="preserve">"NO."
</t>
    </r>
    <r>
      <rPr>
        <sz val="7.5"/>
        <rFont val="Arial"/>
        <family val="2"/>
      </rPr>
      <t xml:space="preserve">i. The </t>
    </r>
    <r>
      <rPr>
        <sz val="8"/>
        <rFont val="Arial"/>
        <family val="2"/>
      </rPr>
      <t xml:space="preserve">jurisdiction </t>
    </r>
    <r>
      <rPr>
        <sz val="7.5"/>
        <rFont val="Arial"/>
        <family val="2"/>
      </rPr>
      <t xml:space="preserve">shall fill in this </t>
    </r>
    <r>
      <rPr>
        <sz val="7"/>
        <rFont val="Arial"/>
        <family val="2"/>
      </rPr>
      <t xml:space="preserve">part </t>
    </r>
    <r>
      <rPr>
        <sz val="7.5"/>
        <rFont val="Arial"/>
        <family val="2"/>
      </rPr>
      <t xml:space="preserve">of the table with the </t>
    </r>
    <r>
      <rPr>
        <sz val="8"/>
        <rFont val="Arial"/>
        <family val="2"/>
      </rPr>
      <t xml:space="preserve">100-year </t>
    </r>
    <r>
      <rPr>
        <sz val="6.5"/>
        <rFont val="Arial"/>
        <family val="2"/>
      </rPr>
      <t xml:space="preserve">return </t>
    </r>
    <r>
      <rPr>
        <sz val="8"/>
        <rFont val="Arial"/>
        <family val="2"/>
      </rPr>
      <t xml:space="preserve">period air freezing index </t>
    </r>
    <r>
      <rPr>
        <sz val="7.5"/>
        <rFont val="Arial"/>
        <family val="2"/>
      </rPr>
      <t xml:space="preserve">(BF-days) </t>
    </r>
    <r>
      <rPr>
        <sz val="8"/>
        <rFont val="Arial"/>
        <family val="2"/>
      </rPr>
      <t xml:space="preserve">from Figure </t>
    </r>
    <r>
      <rPr>
        <sz val="7.5"/>
        <rFont val="Arial"/>
        <family val="2"/>
      </rPr>
      <t xml:space="preserve">R403.3(2) or </t>
    </r>
    <r>
      <rPr>
        <sz val="8"/>
        <rFont val="Arial"/>
        <family val="2"/>
      </rPr>
      <t xml:space="preserve">from the 100-year </t>
    </r>
    <r>
      <rPr>
        <sz val="7.5"/>
        <rFont val="Arial"/>
        <family val="2"/>
      </rPr>
      <t xml:space="preserve">(99
percent) value </t>
    </r>
    <r>
      <rPr>
        <sz val="7"/>
        <rFont val="Arial"/>
        <family val="2"/>
      </rPr>
      <t xml:space="preserve">on </t>
    </r>
    <r>
      <rPr>
        <sz val="7.5"/>
        <rFont val="Arial"/>
        <family val="2"/>
      </rPr>
      <t xml:space="preserve">the National Climatic Data </t>
    </r>
    <r>
      <rPr>
        <sz val="8"/>
        <rFont val="Arial"/>
        <family val="2"/>
      </rPr>
      <t xml:space="preserve">Center data table "Air Freezing Index-USA Method </t>
    </r>
    <r>
      <rPr>
        <sz val="7.5"/>
        <rFont val="Arial"/>
        <family val="2"/>
      </rPr>
      <t xml:space="preserve">(Base 32°F)" </t>
    </r>
    <r>
      <rPr>
        <sz val="6.5"/>
        <rFont val="Arial"/>
        <family val="2"/>
      </rPr>
      <t xml:space="preserve">at </t>
    </r>
    <r>
      <rPr>
        <sz val="8"/>
        <rFont val="Arial"/>
        <family val="2"/>
      </rPr>
      <t xml:space="preserve">www.ncdc.noaa.gov/fpsf.html.
</t>
    </r>
    <r>
      <rPr>
        <sz val="7.5"/>
        <rFont val="Arial"/>
        <family val="2"/>
      </rPr>
      <t xml:space="preserve">j. The </t>
    </r>
    <r>
      <rPr>
        <sz val="8"/>
        <rFont val="Arial"/>
        <family val="2"/>
      </rPr>
      <t xml:space="preserve">jurisdiction </t>
    </r>
    <r>
      <rPr>
        <sz val="7.5"/>
        <rFont val="Arial"/>
        <family val="2"/>
      </rPr>
      <t xml:space="preserve">shall fill </t>
    </r>
    <r>
      <rPr>
        <sz val="8"/>
        <rFont val="Arial"/>
        <family val="2"/>
      </rPr>
      <t xml:space="preserve">in </t>
    </r>
    <r>
      <rPr>
        <sz val="7.5"/>
        <rFont val="Arial"/>
        <family val="2"/>
      </rPr>
      <t xml:space="preserve">this </t>
    </r>
    <r>
      <rPr>
        <sz val="7"/>
        <rFont val="Arial"/>
        <family val="2"/>
      </rPr>
      <t xml:space="preserve">part </t>
    </r>
    <r>
      <rPr>
        <sz val="7.5"/>
        <rFont val="Arial"/>
        <family val="2"/>
      </rPr>
      <t xml:space="preserve">of </t>
    </r>
    <r>
      <rPr>
        <sz val="8"/>
        <rFont val="Arial"/>
        <family val="2"/>
      </rPr>
      <t xml:space="preserve">the </t>
    </r>
    <r>
      <rPr>
        <sz val="7.5"/>
        <rFont val="Arial"/>
        <family val="2"/>
      </rPr>
      <t xml:space="preserve">table with </t>
    </r>
    <r>
      <rPr>
        <sz val="8"/>
        <rFont val="Arial"/>
        <family val="2"/>
      </rPr>
      <t xml:space="preserve">the </t>
    </r>
    <r>
      <rPr>
        <sz val="7"/>
        <rFont val="Arial"/>
        <family val="2"/>
      </rPr>
      <t xml:space="preserve">mean </t>
    </r>
    <r>
      <rPr>
        <sz val="8"/>
        <rFont val="Arial"/>
        <family val="2"/>
      </rPr>
      <t xml:space="preserve">annual </t>
    </r>
    <r>
      <rPr>
        <sz val="7"/>
        <rFont val="Arial"/>
        <family val="2"/>
      </rPr>
      <t xml:space="preserve">temperature </t>
    </r>
    <r>
      <rPr>
        <sz val="8"/>
        <rFont val="Arial"/>
        <family val="2"/>
      </rPr>
      <t xml:space="preserve">from </t>
    </r>
    <r>
      <rPr>
        <sz val="7.5"/>
        <rFont val="Arial"/>
        <family val="2"/>
      </rPr>
      <t xml:space="preserve">the </t>
    </r>
    <r>
      <rPr>
        <sz val="8"/>
        <rFont val="Arial"/>
        <family val="2"/>
      </rPr>
      <t xml:space="preserve">National Climatic </t>
    </r>
    <r>
      <rPr>
        <sz val="7.5"/>
        <rFont val="Arial"/>
        <family val="2"/>
      </rPr>
      <t xml:space="preserve">Data </t>
    </r>
    <r>
      <rPr>
        <sz val="8"/>
        <rFont val="Arial"/>
        <family val="2"/>
      </rPr>
      <t xml:space="preserve">Center data table "Air Freezing </t>
    </r>
    <r>
      <rPr>
        <sz val="7.5"/>
        <rFont val="Arial"/>
        <family val="2"/>
      </rPr>
      <t xml:space="preserve">Index-
USA Method </t>
    </r>
    <r>
      <rPr>
        <sz val="7"/>
        <rFont val="Arial"/>
        <family val="2"/>
      </rPr>
      <t xml:space="preserve">(Base 32°F)" </t>
    </r>
    <r>
      <rPr>
        <sz val="6.5"/>
        <rFont val="Arial"/>
        <family val="2"/>
      </rPr>
      <t xml:space="preserve">at </t>
    </r>
    <r>
      <rPr>
        <sz val="7.5"/>
        <rFont val="Arial"/>
        <family val="2"/>
      </rPr>
      <t xml:space="preserve">www.ncdc.noaa.gov/fpsf.html.
k. In accordance </t>
    </r>
    <r>
      <rPr>
        <sz val="7"/>
        <rFont val="Arial"/>
        <family val="2"/>
      </rPr>
      <t xml:space="preserve">with </t>
    </r>
    <r>
      <rPr>
        <sz val="7.5"/>
        <rFont val="Arial"/>
        <family val="2"/>
      </rPr>
      <t xml:space="preserve">Section </t>
    </r>
    <r>
      <rPr>
        <sz val="7"/>
        <rFont val="Arial"/>
        <family val="2"/>
      </rPr>
      <t xml:space="preserve">R301.2.1.5, where </t>
    </r>
    <r>
      <rPr>
        <sz val="7.5"/>
        <rFont val="Arial"/>
        <family val="2"/>
      </rPr>
      <t xml:space="preserve">there is local historical data documenting structural damage </t>
    </r>
    <r>
      <rPr>
        <sz val="6.5"/>
        <rFont val="Arial"/>
        <family val="2"/>
      </rPr>
      <t xml:space="preserve">to </t>
    </r>
    <r>
      <rPr>
        <sz val="8"/>
        <rFont val="Arial"/>
        <family val="2"/>
      </rPr>
      <t xml:space="preserve">buildings </t>
    </r>
    <r>
      <rPr>
        <sz val="7.5"/>
        <rFont val="Arial"/>
        <family val="2"/>
      </rPr>
      <t xml:space="preserve">due </t>
    </r>
    <r>
      <rPr>
        <sz val="6.5"/>
        <rFont val="Arial"/>
        <family val="2"/>
      </rPr>
      <t xml:space="preserve">to </t>
    </r>
    <r>
      <rPr>
        <sz val="7.5"/>
        <rFont val="Arial"/>
        <family val="2"/>
      </rPr>
      <t xml:space="preserve">topographic wind speed-up
effects, </t>
    </r>
    <r>
      <rPr>
        <sz val="7"/>
        <rFont val="Arial"/>
        <family val="2"/>
      </rPr>
      <t xml:space="preserve">the </t>
    </r>
    <r>
      <rPr>
        <sz val="7.5"/>
        <rFont val="Arial"/>
        <family val="2"/>
      </rPr>
      <t xml:space="preserve">jurisdiction shall fill in this </t>
    </r>
    <r>
      <rPr>
        <sz val="6.5"/>
        <rFont val="Arial"/>
        <family val="2"/>
      </rPr>
      <t xml:space="preserve">part </t>
    </r>
    <r>
      <rPr>
        <sz val="7.5"/>
        <rFont val="Arial"/>
        <family val="2"/>
      </rPr>
      <t xml:space="preserve">of the </t>
    </r>
    <r>
      <rPr>
        <sz val="7"/>
        <rFont val="Arial"/>
        <family val="2"/>
      </rPr>
      <t xml:space="preserve">table </t>
    </r>
    <r>
      <rPr>
        <sz val="7.5"/>
        <rFont val="Arial"/>
        <family val="2"/>
      </rPr>
      <t xml:space="preserve">with "YES." Otherwise, the jurisdiction shall indicate "NO" in this </t>
    </r>
    <r>
      <rPr>
        <sz val="6.5"/>
        <rFont val="Arial"/>
        <family val="2"/>
      </rPr>
      <t xml:space="preserve">part </t>
    </r>
    <r>
      <rPr>
        <sz val="7.5"/>
        <rFont val="Arial"/>
        <family val="2"/>
      </rPr>
      <t xml:space="preserve">of </t>
    </r>
    <r>
      <rPr>
        <sz val="7"/>
        <rFont val="Arial"/>
        <family val="2"/>
      </rPr>
      <t>the table.</t>
    </r>
  </si>
  <si>
    <t>Zoning/Density Regulations (in feet unless otherwise noted)</t>
  </si>
  <si>
    <t>Dist.</t>
  </si>
  <si>
    <t>Min Lot Size (in Sq. Ft. per Dwelling)</t>
  </si>
  <si>
    <t>Min Lot Width and Depth</t>
  </si>
  <si>
    <t>Min Yard Setbacks
Min Building Spacing is 10 Feet All Classes</t>
  </si>
  <si>
    <t>Max Building Height (Stories/Feet)</t>
  </si>
  <si>
    <t>Max Lot Coverage (Percent)</t>
  </si>
  <si>
    <t>Front</t>
  </si>
  <si>
    <t>Rear</t>
  </si>
  <si>
    <t>Interior</t>
  </si>
  <si>
    <t>Exterior</t>
  </si>
  <si>
    <t>Unit Size</t>
  </si>
  <si>
    <t>Sale
Unit Size</t>
  </si>
  <si>
    <t>Unit
(column H)</t>
  </si>
  <si>
    <t>Retail
Price</t>
  </si>
  <si>
    <t>Tax
Rate</t>
  </si>
  <si>
    <t>Total Price
/Each</t>
  </si>
  <si>
    <t>Price
/Single Unit</t>
  </si>
  <si>
    <t>Supplier</t>
  </si>
  <si>
    <t>Concrete Block</t>
  </si>
  <si>
    <t>8”x8”x16”</t>
  </si>
  <si>
    <t>each</t>
  </si>
  <si>
    <t>http://www.homedepot.com/p/8-in-x-8-in-x-16-in-Concrete-Block-100825/202323962</t>
  </si>
  <si>
    <t>Concrete MW Blocl (non-load bearing)</t>
  </si>
  <si>
    <t>6”x8”x16”</t>
  </si>
  <si>
    <t>http://www.homedepot.com/p/6-in-x-8-in-x-16-in-Concrete-MW-Block-6816/3017552301.238952</t>
  </si>
  <si>
    <t>Red Medium Brick</t>
  </si>
  <si>
    <t>2 1/4”x3 5/8” 8”</t>
  </si>
  <si>
    <t>Yavapai Block 928-445-4340, would have to order from phx</t>
  </si>
  <si>
    <t>Standard Brick</t>
  </si>
  <si>
    <t>2 1/4”x3 5/8” 7 5/8”</t>
  </si>
  <si>
    <t>http://phxbrickyard.com 602-258-7158 $0.60/ brick maybe a little less, add a dime for tumbling</t>
  </si>
  <si>
    <t xml:space="preserve">22-Gauge Brick Tie </t>
  </si>
  <si>
    <t>http://www.homedepot.com/p/Simpson-Strong-Tie-22-Gauge-Brick-Tie-100-Pack-BT-R100/100375148</t>
  </si>
  <si>
    <t>Flashing</t>
  </si>
  <si>
    <t>4'x4'x10'</t>
  </si>
  <si>
    <t>http://www.homedepot.com/p/Construction-Metals-4-in-x-4-in-x-10-ft-Galvanized-Steel-L-Flashing-LF44G/202093207</t>
  </si>
  <si>
    <t>Morter, Type S</t>
  </si>
  <si>
    <t>70 lb bag</t>
  </si>
  <si>
    <t>http://www.homedepot.com/p/Quikrete-70-lb-Type-S-Masonry-Cement-112571/100318458</t>
  </si>
  <si>
    <t>Sand, Masonary</t>
  </si>
  <si>
    <t>yd</t>
  </si>
  <si>
    <t>yd^3</t>
  </si>
  <si>
    <t>Concrete Delivered</t>
  </si>
  <si>
    <t>1 yard</t>
  </si>
  <si>
    <t>Arrowhead Materials</t>
  </si>
  <si>
    <t>ABC Fill Delivered</t>
  </si>
  <si>
    <t>$17/Ton @ 140 lb/ft^3</t>
  </si>
  <si>
    <t>ft^3</t>
  </si>
  <si>
    <t>http://www.prescottdirt.com/portfolio-item/abc/</t>
  </si>
  <si>
    <t>¾ Ideal Mix</t>
  </si>
  <si>
    <t>$29/Ton</t>
  </si>
  <si>
    <t>http://www.acmesand.com/semi-loads/</t>
  </si>
  <si>
    <t>Rebar #4 (1/2”)</t>
  </si>
  <si>
    <t>$7.62 / 1/2” x 20'</t>
  </si>
  <si>
    <t>http://www.homedepot.com/p/1-2-in-x-20-ft-Rebar-REB-4-615G4-20/202532809</t>
  </si>
  <si>
    <t>Anchor Bolts</t>
  </si>
  <si>
    <t>$79.98 / 50 (18”x1/2”)</t>
  </si>
  <si>
    <t>http://www.homedepot.com/p/Grip-Rite-18-in-x-0-5-in-Hot-Galvanized-Anchor-Bolt-50-Pieces-per-Box-1218GAB50/100190687</t>
  </si>
  <si>
    <t>Lumber 2”x3”x8' #2 Doug Fir</t>
  </si>
  <si>
    <t>2x4x8</t>
  </si>
  <si>
    <t>https://www.lowes.com/pd/Common-2-in-x-4-in-x-8-ft-Actual-1-5-in-x-3-5-in-x-8-ft-Stud/1000028847</t>
  </si>
  <si>
    <t>Lumber 2”x4”x8' #2 Doug Fir</t>
  </si>
  <si>
    <t>Lumber 2x4x12 #2 Doug Fir</t>
  </si>
  <si>
    <t>2”4”12'</t>
  </si>
  <si>
    <t>http://www.homedepot.com/p/2-in-x-4-in-x-10-ft-Standard-and-Better-Kiln-Dried-Heat-Treated-Spruce-Pine-Fir-Lumber-161659/100080482</t>
  </si>
  <si>
    <t>Lumber 2”x4”x20' #2 Doug Fir</t>
  </si>
  <si>
    <t>2”x4”x20'</t>
  </si>
  <si>
    <t>http://www.homedepot.com/p/2-in-x-4-in-x-20-ft-Premium-Standard-and-Better-Douglas-Fir-Lumber-150932/202094154</t>
  </si>
  <si>
    <t>Lumber 2”x4”x20' Pressure Treated</t>
  </si>
  <si>
    <t>http://www.homedepot.com/p/2-in-x-4-in-x-20-ft-Hem-Fir-Brown-Stain-Ground-Contact-Pressure-Treated-Lumber-Actual-1-5-in-x-3-5-in-x-240-in-17463-20/206949479</t>
  </si>
  <si>
    <t>Lumber 2”x6”x8' #2 Doug Fir</t>
  </si>
  <si>
    <t>2”x6”x8'</t>
  </si>
  <si>
    <t>http://www.homedepot.com/p/2-in-x-6-in-x-8-ft-2-and-Better-Kiln-Dried-Douglas-Fir-Board-HCF-KDDF-PRIME-2x6x8/206804068</t>
  </si>
  <si>
    <t>Lumber 2”x6”x10' #2 Doug Fir</t>
  </si>
  <si>
    <t>2”x6”x10'</t>
  </si>
  <si>
    <t>http://www.homedepot.com/p/2-in-x-6-in-x-10-ft-2-and-Better-Kiln-Dried-Douglas-Fir-Board-HCF-KDDF-PRIME-2x6x10/206804069</t>
  </si>
  <si>
    <t>Lumber 2”6”x20'</t>
  </si>
  <si>
    <t>2”x6”x20'</t>
  </si>
  <si>
    <t>http://www.homedepot.com/p/2-in-x-6-in-x-20-ft-Premium-2-and-Better-Douglas-Fir-Lumber-185469/202094171</t>
  </si>
  <si>
    <t>Lumber 2”x6”x20' Pressure Treated</t>
  </si>
  <si>
    <t>http://www.homedepot.com/p/2-in-x-6-in-x-20-ft-Hem-Fir-Brown-Stain-Ground-Contact-Pressure-Treated-Lumber-Actual-1-5-in-x-5-5-in-x-240-in-17464-20/206950057</t>
  </si>
  <si>
    <t>Lumber 2”x8”x8' #2 Doug Fir</t>
  </si>
  <si>
    <t>2”x8”x12'</t>
  </si>
  <si>
    <t>https://www.lowes.com/pd/Top-Choice-Common-2-in-x-8-in-x-8-ft-Actual-1-562-in-x-7-5-in-x-8-ft-Lumber/1000009802</t>
  </si>
  <si>
    <t>Lumber 2”x8”x20' #2 Doug Fir</t>
  </si>
  <si>
    <t>2”x8”x20'</t>
  </si>
  <si>
    <t>https://www.lowes.com/pd/Top-Choice-Common-2-in-x-8-in-x-20-ft-Actual-1-562-in-x-7-5-in-x-20-ft-Lumber/1000009760</t>
  </si>
  <si>
    <t>Lumber 2”x10”x12' #2 Doug Fir</t>
  </si>
  <si>
    <t>2”x10”x12'</t>
  </si>
  <si>
    <t>http://www.homedepot.com/p/2-in-x-10-in-x-12-ft-2-and-Better-Prime-Douglas-Fir-Board-603708/206182035</t>
  </si>
  <si>
    <t>2”x10”x14'</t>
  </si>
  <si>
    <t>guess</t>
  </si>
  <si>
    <t>Lumber 2”x10”x16' #2 Doug Fir</t>
  </si>
  <si>
    <t>2”x10”x16'</t>
  </si>
  <si>
    <t>http://www.homedepot.com/b/Lumber-Composites-Framing-Lumber-Studs-Dimensional-Lumber/N-5yc1vZc55w/Ntk-Extended/Ntt-2x10x16?Ntx=mode+matchpartialmax&amp;NCNI-5</t>
  </si>
  <si>
    <t>Foxworth Galbrath 928-445-2525  2/15/17</t>
  </si>
  <si>
    <t>Lumber 2”x10”x20' #2 Doug Fir</t>
  </si>
  <si>
    <t>2”x10”x20'</t>
  </si>
  <si>
    <t>http://www.homedepot.com/p/2-in-x-10-in-x-20-ft-Premium-2-and-Better-Douglas-Fir-Lumber-714755/202094203</t>
  </si>
  <si>
    <t>Lumber 2”x12”x16' #2 Doug Fir</t>
  </si>
  <si>
    <t>http://www.homedepot.com/p/2-in-x-12-in-x-16-ft-2-and-Better-Prime-Kiln-Dried-Heat-Treated-Doug-Fir-Lumber-2x12-16-2-btr-kd-prime-doug-fir/300187825</t>
  </si>
  <si>
    <t>Lumber 2”x12”x20' #2 Doug Fir</t>
  </si>
  <si>
    <t>Lumber Rough Sawn</t>
  </si>
  <si>
    <t>2”x12”x20'</t>
  </si>
  <si>
    <t>http://www.hesterslogandlumber.com/rough-cut-lumber-pricesheet.html</t>
  </si>
  <si>
    <t>3”x12”x20'</t>
  </si>
  <si>
    <t>4”x4”x20'</t>
  </si>
  <si>
    <t>6”x6”x20'</t>
  </si>
  <si>
    <t>https://northlandwood.com/roughlumber/</t>
  </si>
  <si>
    <t>6”x8”x20'</t>
  </si>
  <si>
    <t>8”x8”x20'</t>
  </si>
  <si>
    <t>Lumber 2x6 redwood deck material</t>
  </si>
  <si>
    <t>2x6x16</t>
  </si>
  <si>
    <t>https://www.homedepot.com/p/2-in-x-6-in-x-16-ft-Construction-Common-Redwood-Board-436429/206075385</t>
  </si>
  <si>
    <t>Pattern Stock Cedar Tongue and Groove Board</t>
  </si>
  <si>
    <t>$ 15.88 per 1”x6”x12'</t>
  </si>
  <si>
    <t>http://www.homedepot.com/p/Pattern-Stock-Cedar-Tongue-and-Groove-Board-Common-1-in-x-6-in-x-12-ft-Actual-0-625-in-x-5-37-in-x-144-in-906909/100071949</t>
  </si>
  <si>
    <t>1/4 in. x 3.5 in. 14 sq. ft. Western Cedar Planks</t>
  </si>
  <si>
    <t>$19.75 per .25”x3.5” (14ft^2)</t>
  </si>
  <si>
    <t>http://www.homedepot.com/p/1-4-in-x-3-5-in-14-sq-ft-Western-Cedar-Planks-6-Pack-8203015/202106509</t>
  </si>
  <si>
    <t>1/4 in. x 3-3/4 in. x 48 in. 100% Aromatic Eastern Red Cedar Planking</t>
  </si>
  <si>
    <t>$27.47 .25”x3.75”x48”</t>
  </si>
  <si>
    <t>http://www.homedepot.com/p/1-4-in-x-3-3-4-in-x-48-in-100-Aromatic-Eastern-Red-Cedar-Planking-36422/205667315</t>
  </si>
  <si>
    <t>Plywood 23/32 TG 4x8 plywood</t>
  </si>
  <si>
    <t>$32.38 bulk $ 35.98 each /sheet</t>
  </si>
  <si>
    <t>http://www.homedepot.com/p/23-32-in-x-4-ft-x-8-ft-Southern-Pine-Tongue-and-Groove-Plywood-Sheathing-724084/100003769</t>
  </si>
  <si>
    <t>Plywood 15/32 RTD Sheathing</t>
  </si>
  <si>
    <t>$22.73 bulk $ 25.25 each /sheet</t>
  </si>
  <si>
    <t>http://www.homedepot.com/p/15-32-in-x-4-ft-x-8-ft-3-Ply-RTD-Sheathing-166073/100067329</t>
  </si>
  <si>
    <t>Plywood 19/32 RTD Sheathing</t>
  </si>
  <si>
    <t>$25.35 bulk $28.17 each /sheet</t>
  </si>
  <si>
    <t>http://www.homedepot.com/p/19-32-in-x-4-ft-x-8-ft-Rtd-Sheathing-Syp-166081/100004472</t>
  </si>
  <si>
    <t>Plywood 23/32 RTD Sheathing</t>
  </si>
  <si>
    <t>$29.23 bulk $32.48 each / sheet</t>
  </si>
  <si>
    <t>http://www.homedepot.com/p/23-32-in-x-4-ft-x-8-ft-RTD-Sheathing-Syp-166103/100041308</t>
  </si>
  <si>
    <t>OSB 7/16</t>
  </si>
  <si>
    <t>$17.15 bulk $19.05 each /sheet</t>
  </si>
  <si>
    <t>http://www.homedepot.com/p/7-16-in-x-48-in-x-8ft-Oriented-Strand-Board-386081/202106230</t>
  </si>
  <si>
    <t>Sheathing Clip</t>
  </si>
  <si>
    <t>$7.87 per 50</t>
  </si>
  <si>
    <t>https://www.homedepot.com/p/Simpson-Strong-Tie-20-Gauge-5-8-in-Plywood-Sheathing-Clip-50-Qty-PSCL-5-8-R50/100375083</t>
  </si>
  <si>
    <t>TJI</t>
  </si>
  <si>
    <t>1.5 x 9 ½</t>
  </si>
  <si>
    <t>http://www.northlandwood.com/lam.htm</t>
  </si>
  <si>
    <t>1.5 x 11 7/8</t>
  </si>
  <si>
    <t>1.5 x 16</t>
  </si>
  <si>
    <t>14” TJI</t>
  </si>
  <si>
    <t>14”</t>
  </si>
  <si>
    <t>http://www.acehardware.net/estimate/</t>
  </si>
  <si>
    <t>GUESS</t>
  </si>
  <si>
    <t>Rim Board</t>
  </si>
  <si>
    <t>11 7/8”</t>
  </si>
  <si>
    <t>https://northlandwood.com/joists_beams_lams/</t>
  </si>
  <si>
    <t>https://www.menards.com/main/building-materials/trusses-i-joists-engineered-lumber/i-joists-rim-boards/lp-reg-1-1-8-x-12-rim-board/p-1444438245882.htm</t>
  </si>
  <si>
    <t>LVL (Laminated Veneer Lumber)</t>
  </si>
  <si>
    <t>1 ¾ X 7 1/4 3100FB 2.0E</t>
  </si>
  <si>
    <t>https://www.goodrichlumber.com/MainSite/Store1/StoreProducts/ProductDetail/1475</t>
  </si>
  <si>
    <t>1 ¾ X 11 7/8 3100FB 2.0E</t>
  </si>
  <si>
    <t>https://www.goodrichlumber.com/MainSite/Store1/StoreProducts/ProductDetail/1471</t>
  </si>
  <si>
    <t>1 ¾ X 14 3100FB 2.0E</t>
  </si>
  <si>
    <t>https://www.goodrichlumber.com/MainSite/Store1/StoreProducts/ProductDetail/1472</t>
  </si>
  <si>
    <t>1 ¾ – 2 X 14</t>
  </si>
  <si>
    <t>Foxworth Galbrath 928-445-2525  3/28/17</t>
  </si>
  <si>
    <t>1 ¾ X 18</t>
  </si>
  <si>
    <t>https://www.goodrichlumber.com/MainSite/Store1/StoreProducts/ProductDetail/1474</t>
  </si>
  <si>
    <t>1 ¾ X 18 – 2</t>
  </si>
  <si>
    <t>Gluelam Beam</t>
  </si>
  <si>
    <t>3 1/8 x 9</t>
  </si>
  <si>
    <t>3 1/8 x 12</t>
  </si>
  <si>
    <t>5 1/8 x 12</t>
  </si>
  <si>
    <t>5 1/8 x 15</t>
  </si>
  <si>
    <t>5 1/8 x 18</t>
  </si>
  <si>
    <t>5 1/2 x 11 7/8</t>
  </si>
  <si>
    <t>Weyerhaeuser, Foxworth Galbrath 928-445-2525  3/28/17</t>
  </si>
  <si>
    <t>5 ½ x 16 ½</t>
  </si>
  <si>
    <t>Guess</t>
  </si>
  <si>
    <t>5 ½ x 24</t>
  </si>
  <si>
    <t>6 3/4 x 24</t>
  </si>
  <si>
    <t>8 3/4 x 24</t>
  </si>
  <si>
    <t>Capitol, Foxworth Galbrath 928-445-2525  3/28/17</t>
  </si>
  <si>
    <t>VERSALAM COL</t>
  </si>
  <si>
    <t>3  ½ X 3 ½</t>
  </si>
  <si>
    <t>https://www.goodrichlumber.com/MainSite/Store1/StoreProducts/ProductDetail/5</t>
  </si>
  <si>
    <t>Paralam Column</t>
  </si>
  <si>
    <t>7”x7”</t>
  </si>
  <si>
    <t>Joist Hanger</t>
  </si>
  <si>
    <t>$0.96/each</t>
  </si>
  <si>
    <t>http://www.homedepot.com/p/Simpson-Strong-Tie-Z-MAX-2-in-x-6-in-Galvanized-Double-Shear-Face-Mount-Joist-Hanger-LUS26Z/100375105</t>
  </si>
  <si>
    <t>Glue Sub-floor</t>
  </si>
  <si>
    <t>$4.33 @ 12oz/85ft</t>
  </si>
  <si>
    <t>http://www.homedepot.com/p/Liquid-Nails-28-oz-Subfloor-and-Deck-Construction-Adhesive-12-Pack-LNP-902-CP/202246452</t>
  </si>
  <si>
    <t>Nails Framing 3-1/4”</t>
  </si>
  <si>
    <t>$50.93/4000</t>
  </si>
  <si>
    <t>http://www.homedepot.com/p/Grip-Rite-3-1-4-in-x-0-131-Plastic-Bright-Vinyl-Coated-Steel-Smooth-Shank-Round-Framing-Nails-4-000-per-Box-GR024/100394345</t>
  </si>
  <si>
    <t>Pier Post Base</t>
  </si>
  <si>
    <t>$10.37/each</t>
  </si>
  <si>
    <t>http://www.homedepot.com/p/Simpson-Strong-Tie-4-in-x-4-in-12-Gauge-Hot-Dip-Galvanized-Pier-Block-Elevated-Post-Base-EPB44PHDG/100506799?cm_mmc=Shopping%7cTHD%7cG%7c0%7cG-BASE-PLA-D22-BuildingMaterials%7c&amp;gclid=CLr6kMf-jNACFYF6fgodw9cMSw&amp;gclsrc=aw.ds</t>
  </si>
  <si>
    <t>Cement, Surface Bonding, QuickWall</t>
  </si>
  <si>
    <t>$20.87/50ft^2</t>
  </si>
  <si>
    <t>https://www.lowes.com/pd/QUIKRETE-Quikwall-50-lb-White-Cement-Mix/3006092</t>
  </si>
  <si>
    <t>R-19 Insulation Fiberglass (Roll)</t>
  </si>
  <si>
    <t>$28.19/48.96ft&amp;2 (15”x39.2')</t>
  </si>
  <si>
    <t>http://www.homedepot.com/p/Owens-Corning-R-19-Kraft-Faced-Insulation-Continuous-Roll-15-in-x-39-2-ft-RF40/202585898</t>
  </si>
  <si>
    <t>R-19 Insulation Fiberglass (Batt)</t>
  </si>
  <si>
    <t>$45.48/77.5^ft2</t>
  </si>
  <si>
    <t>http://www.homedepot.com/p/Owens-Corning-R-19-Kraft-Faced-Insulation-Batts-15-in-x-93-in-BF40/202585865</t>
  </si>
  <si>
    <t>R-19 Insulation Cellulose (Blown)</t>
  </si>
  <si>
    <t>$9.07/40fr^2</t>
  </si>
  <si>
    <t>http://www.homedepot.com/p/GreenFiber-Low-Dust-Cellulose-Blow-in-Insulation-19-lbs-Bag-INS541LD/100318635</t>
  </si>
  <si>
    <t>R-21 Insulation Fiberglass (Batt)</t>
  </si>
  <si>
    <t>$629.09/678.10</t>
  </si>
  <si>
    <t>http://www.homedepot.com/p/Owens-Corning-R-21-Insulation-Kraft-Faced-Batts-15-in-x-93-in-10-Bags-BF60/205470953</t>
  </si>
  <si>
    <t>R-30 Insulation Fiberglass (Batt)</t>
  </si>
  <si>
    <t>$80.98 per 88ft^2</t>
  </si>
  <si>
    <t>http://www.homedepot.com/p/Owens-Corning-R-30-Kraft-Faced-Insulation-Batts-24-in-x-48-in-BF71/202585885</t>
  </si>
  <si>
    <t>R38 Insulation Faced Batts 24 in. x 48 in. 12” thick (8-Bags)</t>
  </si>
  <si>
    <t>$69.98 / 72ft^2 bag (12”x24”x48”</t>
  </si>
  <si>
    <t>https://www.lowes.com/pd/Johns-Manville-R-38-48-sq-ft-Faced-Fiberglass-Batt-Insulation-with-Sound-Barrier-16-in-W-x-48-in-L/1000165241</t>
  </si>
  <si>
    <t>R38 Insulation Unfaced Batts 24 in. x 48 in. 12” thick (8-Bags)</t>
  </si>
  <si>
    <t>$857.68 per 8-bags (512 ft^2)</t>
  </si>
  <si>
    <t>http://www.homedepot.com/p/Owens-Corning-R38-Insulation-Unfaced-Batts-24-in-x-48-in-8-Bags-BU81/205471557</t>
  </si>
  <si>
    <t>R49 Fiberglass Batt 24”x48”x14”</t>
  </si>
  <si>
    <t>$72 per 48ft^2 30% off for 15 or more</t>
  </si>
  <si>
    <t>https://www.lowes.com/pd/Owens-Corning-R49-48-sq-ft-Faced-Fiberglass-Batt-Insulation-with-Sound-Barrier-24-in-W-x-48-in-L/1000085517</t>
  </si>
  <si>
    <t>R49 Insulation Fiberglass (Blown)</t>
  </si>
  <si>
    <t>$34.98/39.5ft^2</t>
  </si>
  <si>
    <t>http://www.homedepot.com/p/Owens-Corning-AttiCat-Fiberglass-Expanding-Blown-in-Insulation-System-L38A/100541755</t>
  </si>
  <si>
    <t>Cellulose (Blown)</t>
  </si>
  <si>
    <t>$447.78 per 36 bags / 60ft^2 per 30lb bag @R-19</t>
  </si>
  <si>
    <t>http://www.homedepot.com/p/GreenFiber-All-Borate-Cellulose-Blow-in-Insulation-30-lbs-36-Pallet-INS765LD/300584221</t>
  </si>
  <si>
    <t>Cellulose (Blown) @ R19</t>
  </si>
  <si>
    <t>Cellulose (Blown) @ R40</t>
  </si>
  <si>
    <t>Netting for Blown in Insulation</t>
  </si>
  <si>
    <t>$483.13 / 8' x 750'</t>
  </si>
  <si>
    <t>https://www.menards.com/main/building-materials/insulation/insulation-accessories/hanes-insulweb-reg-8-x-750-netting/p-1444423325023-c-5776.htm?tid=7954070246513455495&amp;ipos=2</t>
  </si>
  <si>
    <t>R-10 Rigid Foam Insulation</t>
  </si>
  <si>
    <t>$39.95/ 2”x4'x8' sheet</t>
  </si>
  <si>
    <t>http://www.homedepot.com/p/Owens-Corning-FOAMULAR-250-2-in-x-48-in-x-8-ft-R-10-Scored-Squared-Edge-Insulation-Sheathing-52DD/202085962</t>
  </si>
  <si>
    <t>R-13.1 Ridgid Insulation Rmax Thermasheath-3 2 in. x 4 ft. x 8 ft. R-13.1 Polyisocyanurate Rigid Foam Insulation Board</t>
  </si>
  <si>
    <t>$34 single $30.60 bulk per sheet</t>
  </si>
  <si>
    <t>http://www.homedepot.com/p/Thermasheath-Rmax-Thermasheath-3-2-in-x-4-ft-x-8-ft-R-13-1-Polyisocyanurate-Rigid-Foam-Insulation-Board-613010/100573703</t>
  </si>
  <si>
    <t>R-3.2 Rmax Plus-3 1/2 in. x 4 ft. x 8 ft. R-3.2 Polyisocyanurate Rigid Foam Insulation Board</t>
  </si>
  <si>
    <t>$20.75 per sheet</t>
  </si>
  <si>
    <t>20 Mil Crawl Space Vapor Barrier</t>
  </si>
  <si>
    <t>309.25/ 13'4”x50'</t>
  </si>
  <si>
    <t>https://crawlspacerepair.com/20-mil-vapor-barrier-for-crawl-space-encapsulation</t>
  </si>
  <si>
    <t>Vapor Barrier Tape for Crawl Space</t>
  </si>
  <si>
    <t>$32.99/ 500ft^2 of area</t>
  </si>
  <si>
    <t>https://crawlspacerepair.com/waterproof-seam-tape-for-crawl-space-vapor-barrier</t>
  </si>
  <si>
    <t>Foundation Seal Tape</t>
  </si>
  <si>
    <t>$25.99 / 108ft</t>
  </si>
  <si>
    <t>https://crawlspacerepair.com/foundation-seal-tape-for-crawl-spaces</t>
  </si>
  <si>
    <t>Crawl Space Ventilator LM-CSVENT-PCV1</t>
  </si>
  <si>
    <t>http://www.rewci.com/crspve110cfm.html</t>
  </si>
  <si>
    <t>Tyvek 3'x165'</t>
  </si>
  <si>
    <t>$66.25/3x165</t>
  </si>
  <si>
    <t>http://www.homedepot.com/p/TYVEK-HomeWrap-3-ft-x-165-ft-Roll-Housewrap-D14050353/100422452</t>
  </si>
  <si>
    <t>Tyvek 9'x150'</t>
  </si>
  <si>
    <t>$165/each</t>
  </si>
  <si>
    <t>http://www.homedepot.com/p/TYVEK-HomeWrap-9-ft-x-150-ft-Roll-Housewrap-D13499991/100422450</t>
  </si>
  <si>
    <t>$13.25/164ft</t>
  </si>
  <si>
    <t>http://www.homedepot.com/p/TYVEK-HomeWrap-2-in-x-164-ft-Installation-Tape-D13841470/100422453</t>
  </si>
  <si>
    <t>Hardie Board Cement Board Siding</t>
  </si>
  <si>
    <t>$8.72/each (144x8.25 @ 1.25” overlap)</t>
  </si>
  <si>
    <t>http://www.homedepot.com/p/James-Hardie-HardiePlank-HZ10-5-16-in-x-8-25-in-x-144-in-Fiber-Cement-Select-Cedarmill-Lap-Siding-215518/100064049</t>
  </si>
  <si>
    <t>Hardie Board Vented Soffit</t>
  </si>
  <si>
    <t>$27.74 /  24”x96”</t>
  </si>
  <si>
    <t>https://www.lowes.com/pd/James-Hardie-24-in-x-96-in-HardieSoffit-Primed-Fiber-Cement-Vented-Soffit/3109037</t>
  </si>
  <si>
    <t>Hardie Board Trim</t>
  </si>
  <si>
    <t>13.65 / 1”x3.5”x144”</t>
  </si>
  <si>
    <t>http://www.homedepot.com/p/James-Hardie-HardieTrim-HZ10-1-0-in-x-3-5-in-x-144-in-Fiber-Cement-Rustic-Grain-Trim-Board-216660/100015060</t>
  </si>
  <si>
    <t>11-ga Roofing Nail 1-1/4”</t>
  </si>
  <si>
    <t>$32.24/7200</t>
  </si>
  <si>
    <t>http://www.homedepot.com/p/Freeman-1-1-4-in-11-Gauge-Roofing-Nails-RN-125/203502962</t>
  </si>
  <si>
    <t>Exterior Paint</t>
  </si>
  <si>
    <t>$45.98/gal @300ft^2/gal</t>
  </si>
  <si>
    <t>gal</t>
  </si>
  <si>
    <t>http://www.homedepot.com/p/BEHR-MARQUEE-1-gal-PPU9-12-Prairie-House-Flat-Exterior-Paint-445001/204227324</t>
  </si>
  <si>
    <t>Exterior Siding Nails</t>
  </si>
  <si>
    <t>$88.67/4200</t>
  </si>
  <si>
    <t>http://www.homedepot.com/p/DEWALT-1-3-4-in-x-0-080-in-Galvanized-Metal-Ring-Shank-Coil-Nails-4200-Pieces-DWC5R80BDG/205647575</t>
  </si>
  <si>
    <t>302.54 (72x48)</t>
  </si>
  <si>
    <t>http://www.homedepot.com/p/SIMONTON-72-in-x-48-in-DaylightMax-Left-Hand-Sliding-Vinyl-Window-White-DMSL-7248WHL2CAARHS/204740889?keyword=204740889</t>
  </si>
  <si>
    <t>295.05 (59.5x47.5)</t>
  </si>
  <si>
    <t>http://www.homedepot.com/p/JELD-WEN-59-5-in-x-47-5-in-V-2500-Series-Right-Hand-Sliding-Vinyl-Window-with-Grids-White-THDJW138500117/205817786?keyword=205817786</t>
  </si>
  <si>
    <t>140.93(23.5x35.5)</t>
  </si>
  <si>
    <t>http://www.homedepot.com/p/JELD-WEN-23-5-in-x-35-5-in-V-2500-Series-Right-Hand-Sliding-Vinyl-Window-with-Grids-White-THDJW138500053/205817737?keyword=205817737</t>
  </si>
  <si>
    <t>http://www.homedepot.com/p/SIMONTON-96-in-x-48-in-DaylightMax-Universal-Hand-End-Vent-Sliding-Vinyl-Window-White-DMEV-9648WHL2ARHS/204740938</t>
  </si>
  <si>
    <t>60x48"</t>
  </si>
  <si>
    <t>http://www.homedepot.com/p/JELD-WEN-59-5-in-x-47-5-in-V-4500-Series-Left-Hand-Sliding-Vinyl-Windows-White-THDJW140400125/205818294</t>
  </si>
  <si>
    <t>http://www.homedepot.com/p/JELD-WEN-47-5-in-x-47-5-in-V-4500-Series-Right-Hand-Sliding-Vinyl-Windows-White-THDJW140400105/205818292</t>
  </si>
  <si>
    <t>http://www.homedepot.com/p/JELD-WEN-47-5-in-x-23-5-in-V-4500-Series-Awning-Vinyl-Window-White-THDJW140000447/205720398</t>
  </si>
  <si>
    <t>http://www.homedepot.com/p/JELD-WEN-35-5-in-x-35-5-in-V-4500-Series-Fixed-Picture-Vinyl-Window-in-White-THDJW142100094/205807124</t>
  </si>
  <si>
    <t>http://www.homedepot.com/p/JELD-WEN-23-5-in-x-35-5-in-V-4500-Series-Single-Hung-Vinyl-Window-Yellow-THDJW143900135/205688339</t>
  </si>
  <si>
    <t>http://www.homedepot.com/p/JELD-WEN-35-5-in-x-47-5-in-V-4500-Series-Single-Hung-Vinyl-Window-White-THDJW143900085/205688305</t>
  </si>
  <si>
    <t>http://www.homedepot.com/p/Pacific-Entries-36-in-x-80-in-Craftsman-Rustic-6-Lite-Stained-Knotty-Alder-Wood-Prehung-Front-Door-A36R/205204220</t>
  </si>
  <si>
    <t>Milgard Tuscany 4pnl Sliding Glass Door</t>
  </si>
  <si>
    <t>Quote from Lowes in person</t>
  </si>
  <si>
    <t>Cheap Sliding Glass Door 4pnl</t>
  </si>
  <si>
    <t>http://www.homedepot.com/p/SIMONTON-143-5-in-x-79-5-in-4-Panel-Contemporary-Vinyl-Sliding-Patio-Door-with-ProSolar-LowE-Glass-and-Custom-Interior-Hardware-CPD-14480WHL2ARFS/204860324?keyword=204860324</t>
  </si>
  <si>
    <t>French Door</t>
  </si>
  <si>
    <t>72x80”</t>
  </si>
  <si>
    <t>http://www.homedepot.com/p/JELD-WEN-72-in-x-80-in-Brilliant-White-Prehung-Left-Hand-Inswing-French-Patio-Door-with-Brickmould-and-Blinds-THDJW205900499/206873603</t>
  </si>
  <si>
    <t>Exterior Door</t>
  </si>
  <si>
    <t>$442.71/each</t>
  </si>
  <si>
    <t>http://www.homedepot.com/p/JELD-WEN-36-in-x-80-in-Craftsman-6-Lite-Primed-Premium-Steel-Prehung-Front-Door-with-Brickmould-and-Dentil-Shelf-N11437/203188829?keyword=203188829</t>
  </si>
  <si>
    <t>Cheap Interior Door</t>
  </si>
  <si>
    <t>$36.48/each</t>
  </si>
  <si>
    <t>http://www.homedepot.com/p/Masonite-36-in-x-80-in-Textured-6-Panel-Hollow-Core-Primed-Composite-Interior-Door-Slab-16931/100034895?keyword=100034895</t>
  </si>
  <si>
    <t>Cheap Interior Pre-Hung Door</t>
  </si>
  <si>
    <t>http://www.homedepot.com/p/Masonite-36-in-x-80-in-6-Panel-Left-Handed-Hollow-Core-Textured-Primed-Composite-Single-Prehung-Interior-Door-07450/100084672</t>
  </si>
  <si>
    <t>Fire Rated Door</t>
  </si>
  <si>
    <t>http://www.homedepot.com/p/JELD-WEN-36-in-x-80-in-6-Panel-Primed-20-Minute-Fire-Rated-Steel-Prehung-Left-Hand-Inswing-Front-Door-THDJW166100249/202036318</t>
  </si>
  <si>
    <t>Single Prehung Interior Door Hemlock unfinished</t>
  </si>
  <si>
    <t>http://www.homedepot.com/p/Builder-s-Choice-36-in-x-80-in-6-Panel-Left-Hand-Hemlock-Single-Prehung-Interior-Door-HD66S30L/100096329</t>
  </si>
  <si>
    <t>Pocket Door</t>
  </si>
  <si>
    <t>Bi-Folding Door</t>
  </si>
  <si>
    <t>28x80”</t>
  </si>
  <si>
    <t>http://www.homedepot.com/p/Home-Fashion-Technologies-28-in-x-80-in-6-Panel-Primed-Solid-Wood-Interior-Closet-Bi-Fold-Door-1602880200/202979493</t>
  </si>
  <si>
    <t>Slab Door Clear Pine Unfinished</t>
  </si>
  <si>
    <t>24x80”</t>
  </si>
  <si>
    <t>http://www.homedepot.com/p/Builder-s-Choice-24-in-x-80-in-6-Panel-Clear-Pine-Interior-Door-Slab-HDCP6620/202532825</t>
  </si>
  <si>
    <t>36” Pocket Door Frame</t>
  </si>
  <si>
    <t>32”</t>
  </si>
  <si>
    <t>http://www.homedepot.com/p/Builder-s-Choice-32-in-Pocket-Door-Frame-DFPDI428/100069123</t>
  </si>
  <si>
    <t>Interior French Door Pine Unfinished Glass Panel</t>
  </si>
  <si>
    <t>http://www.homedepot.com/p/MMI-Door-73-5-in-x-81-75-in-Classic-Clear-True-Divided-15-Lite-Unfinished-Pine-Wood-Interior-French-Double-Door-Z019959BA/207061878</t>
  </si>
  <si>
    <t>Interior Door Slab Hemlock 10 Lite Unfinished</t>
  </si>
  <si>
    <t>http://www.homedepot.com/p/Builder-s-Choice-24-in-x-80-in-Hemlock-10-Lite-Interior-Door-Slab-HD1510S20/202535849</t>
  </si>
  <si>
    <t>Garage Door Insulated 10x8</t>
  </si>
  <si>
    <t>https://www.menards.com/main/doors-windows-millwork/exterior-doors/garage-doors-garage-door-openers/shop-all-garage-doors/ideal-door-reg-5-star-10-ft-x-8-ft-sandtone-premium-insulated-garage-door-with-madison-arch-windows/p-1491373311666-c-12358.htm?tid=-1743057851000207352&amp;ipos=6</t>
  </si>
  <si>
    <t>Garage Door Insulated 16x8</t>
  </si>
  <si>
    <t>https://www.menards.com/main/doors-windows-millwork/exterior-doors/garage-doors-garage-door-openers/shop-all-garage-doors/ideal-door-reg-sunrise-16-ft-x-8-ft-4-star-desert-tan-insul-ez-set-reg-garage-door/p-1444433874494-c-12358.htm?tid=8557660199318680604&amp;ipos=1</t>
  </si>
  <si>
    <t>Shop Door 10'x10' Insulated</t>
  </si>
  <si>
    <t>https://www.menards.com/main/doors-windows-millwork/exterior-doors/garage-doors/garage-doors/ideal-door-reg-5-star-10-x-10-white-commercial-premium-insulated-garage-door/p-1444433900651-c-12358.htm?tid=-3410685420619682194&amp;ipos=8</t>
  </si>
  <si>
    <t>Shop Door 10'x14' Insulated</t>
  </si>
  <si>
    <t>https://www.menards.com/main/doors-windows-millwork/exterior-doors/garage-doors/garage-doors/ideal-door-reg-4-star-10-x-14-white-commercial-insulated-garage-door/p-1444433860578-c-12358.htm?tid=-2555219637433344797&amp;ipos=2</t>
  </si>
  <si>
    <t>Shop Door 12'x14' Insulated</t>
  </si>
  <si>
    <t>https://www.menards.com/main/doors-windows-millwork/exterior-doors/garage-doors/garage-doors/ideal-door-reg-3-star-12-x-14-white-commercial-insulated-garage-door/12x14c5ess4259420/p-1444433850569-c-12358.htm?tid=8590176457435048487&amp;ipos=7</t>
  </si>
  <si>
    <t>http://www.homedepot.com/p/Chamberlain-1-1-4-HPS-Smartphone-Controlled-Wi-Fi-Belt-Drive-Garage-Door-Opener-with-Battery-Backup-and-Ultra-Quiet-Operation-HD950WF/205880822</t>
  </si>
  <si>
    <t>Door Knob Passage</t>
  </si>
  <si>
    <t>http://www.homedepot.com/p/Kwikset-Cove-Antique-Brass-Bed-Bath-Knob-300CV-5-RCAL-RCS/203274878</t>
  </si>
  <si>
    <t>Door Knob Privacy</t>
  </si>
  <si>
    <t>http://www.homedepot.com/p/Kwikset-Cove-Venetian-Bronze-Hall-Closet-Knob-200CV-11P-6AL-RCS/202106268</t>
  </si>
  <si>
    <t>Door Knob Entry</t>
  </si>
  <si>
    <t>http://www.homedepot.com/p/Kwikset-Juno-Satin-Nickel-Exterior-Entry-Knob-and-Single-Cylinder-Deadbolt-Combo-Pack-featuring-SmartKey-991J-15-SMT-CP/100597328</t>
  </si>
  <si>
    <t>Metal Roof Sheet</t>
  </si>
  <si>
    <t>$45.98/16'x3'</t>
  </si>
  <si>
    <t>http://www.homedepot.com/p/Metal-Sales-16-ft-Classic-Rib-Steel-Roof-Panel-in-Burnished-Slate-2313649/204255223</t>
  </si>
  <si>
    <t>$150-300 per 10'x10'</t>
  </si>
  <si>
    <t>ABC Building Supply 928-772-7141</t>
  </si>
  <si>
    <t>Metal Drip Edge</t>
  </si>
  <si>
    <t>$8.31 per 10ft</t>
  </si>
  <si>
    <t>http://www.homedepot.com/p/Construction-Metals-2-in-x-3-in-x-10-ft-Roof-Edge-Flashing-in-White-RE23WH/202092739</t>
  </si>
  <si>
    <t>Metal Roofing Screws</t>
  </si>
  <si>
    <t>$9.68/100</t>
  </si>
  <si>
    <t>box</t>
  </si>
  <si>
    <t>http://www.homedepot.com/p/Teks-9-x-1-1-2-in-Zinc-Plated-Steel-Hex-Washer-Head-Roofing-Screws-100-Pack-21404/100188361</t>
  </si>
  <si>
    <t>UDL Titanium 50 Roof Underlayment</t>
  </si>
  <si>
    <t>$171.98 per 4'x250' roll</t>
  </si>
  <si>
    <t>http://buymbs.com/p-100-titanium-udl-50-synthetic-underlayment.aspx?vid=98</t>
  </si>
  <si>
    <t>Roof Under-layment</t>
  </si>
  <si>
    <t>$178/225ft^2</t>
  </si>
  <si>
    <t>http://www.homedepot.com/p/Grace-Ice-Water-Shield-36-in-x-75-ft-225-sq-ft-Roll-Roofing-Underlayment-in-Black-5003002/202088840</t>
  </si>
  <si>
    <t>Drywall 1/2”</t>
  </si>
  <si>
    <t>$10.47 / 8.90 bulk /sheet</t>
  </si>
  <si>
    <t>http://www.homedepot.com/p/Sheetrock-UltraLight-1-2-in-x-4-ft-x-8-ft-Gypsum-Board-14113411708/202530243</t>
  </si>
  <si>
    <t>Drywall 5/8”</t>
  </si>
  <si>
    <t>$12.57 / 10.68 bulk /sheet</t>
  </si>
  <si>
    <t>http://www.homedepot.com/p/Sheetrock-Firecode-Core-5-8-in-x-4-ft-x-8-ft-Gypsum-Board-14211011308/100321591</t>
  </si>
  <si>
    <t>Interior Primer</t>
  </si>
  <si>
    <t>$13.98/gal (250-400 ft^2)</t>
  </si>
  <si>
    <t>http://www.homedepot.com/p/BEHR-Premium-Plus-1-gal-Drywall-Primer-and-Sealer-07301/100118531</t>
  </si>
  <si>
    <t>$32.98/gal (400 ft^2)</t>
  </si>
  <si>
    <t>http://www.homedepot.com/p/BEHR-Premium-Plus-Ultra-1-gal-Ultra-Pure-White-Semi-Gloss-Enamel-Interior-Paint-375001/203202285</t>
  </si>
  <si>
    <t>Vinyl Flooring</t>
  </si>
  <si>
    <t>$4/ft^2</t>
  </si>
  <si>
    <t>Hardwood Flooring</t>
  </si>
  <si>
    <t>$5.49/ft^2</t>
  </si>
  <si>
    <t>http://www.homedepot.com/p/Heritage-Mill-Oak-Golden-3-4-in-Thick-x-4-in-Wide-x-Random-Length-Solid-Real-Hardwood-Flooring-21-sq-ft-case-PF9679/206021887</t>
  </si>
  <si>
    <t>Cheap Hardwood Flooring</t>
  </si>
  <si>
    <t>$3.29/ft^2</t>
  </si>
  <si>
    <t>https://www.homedepot.com/p/Blue-Ridge-Hardwood-Flooring-Oak-Honey-Wheat-3-4-in-Thick-x-2-1-4-in-Wide-x-Random-Length-Solid-Hardwood-Flooring-18-sq-ft-case-20476/206719811</t>
  </si>
  <si>
    <t>Porcelain Tile</t>
  </si>
  <si>
    <t>$3/ft^2</t>
  </si>
  <si>
    <t>https://www.builddirect.com/p/MS-International-Porcelain-Tile-Veneto-Series--15004020</t>
  </si>
  <si>
    <t>Cement Board 1/2”</t>
  </si>
  <si>
    <t>$21.93 single or 19.77 bulk per sheet</t>
  </si>
  <si>
    <t>http://www.homedepot.com/p/DUROCK-Next-Gen-1-2-in-x-4-ft-x-8-ft-Cement-Board-172968/202328849</t>
  </si>
  <si>
    <t>Fortified Thin-Set Mortar</t>
  </si>
  <si>
    <t>$14.47 per 50lb bag (100 ft^2)</t>
  </si>
  <si>
    <t>http://www.homedepot.com/p/Custom-Building-Products-VersaBond-Gray-50-lb-Fortified-Thin-Set-Mortar-MTSG50/100162542?MERCH=REC-_-NavPLPHorizontal1_rr-_-NA-_-100162542-_-N</t>
  </si>
  <si>
    <t>Grout Tile Floor</t>
  </si>
  <si>
    <t>$9.97 per 7lb (192 ft^2)</t>
  </si>
  <si>
    <t>http://www.homedepot.com/p/Custom-Building-Products-Polyblend-548-Surf-Green-7-lb-Sanded-Grout-PBG5487-4/205939330</t>
  </si>
  <si>
    <t>$6.47/250</t>
  </si>
  <si>
    <t>http://www.homedepot.com/p/Grip-Rite-8-x-1-1-2-in-Philips-Bugle-Head-Coarse-Thread-Sharp-Point-Drywall-Screws-1-lb-Pack-112CDWS1/100127330</t>
  </si>
  <si>
    <t>https://lowes.stainmaster.com/product-details?gtin=00765894796919&amp;ProductLine=stainmastertrusoft&amp;Alternative=stainmasteractivefamily&amp;Style=Textured%7CFrieze%7CPlush&amp;Color=White%7CCream%7CBeige%7CBrown%7CTan%7CGold%7COrange%7CRed%7CBlack%7CGray&amp;AnswerCode=01100001110001010</t>
  </si>
  <si>
    <t>Cheap Carpet</t>
  </si>
  <si>
    <t>https://www.homedepot.com/p/TrafficMASTER-Thoroughbred-ll-Color-Morgan-Texture-12-ft-Carpet-EF286-316-1200/303256366</t>
  </si>
  <si>
    <t>https://www.lowes.com/pd/STAINMASTER-11-11-mm-Rebond-Carpet-Padding/50280767</t>
  </si>
  <si>
    <t>$19.99 per 400ft</t>
  </si>
  <si>
    <t>https://www.lowes.com/pd/Blue-Hawk-1-in-Blue-Tack-Strip/4755339</t>
  </si>
  <si>
    <t>$1.98/250ft</t>
  </si>
  <si>
    <t>http://www.homedepot.com/p/Sheetrock-250-ft-Drywall-Joint-Tape-382175/100321613</t>
  </si>
  <si>
    <t>$7.45/350ft^2</t>
  </si>
  <si>
    <t>http://www.homedepot.com/p/SHEETROCK-Brand-3-5-Gal-All-Purpose-Pre-Mixed-Joint-Compound-380122/202329634</t>
  </si>
  <si>
    <t>http://www.homedepot.com/p/Foremost-Naples-48-in-W-x-21-5-8-in-D-x-34-in-H-Vanity-Cabinet-Only-in-White-NAWA4821D/203984978?keyword=203984978</t>
  </si>
  <si>
    <t>http://www.homedepot.com/p/Foremost-Naples-60-in-W-x-21-5-8-in-D-x-34-in-H-Vanity-Cabinet-Only-in-Warm-Cinnamon-NACA6021D/100508059?keyword=100508059</t>
  </si>
  <si>
    <t>http://www.homedepot.com/p/Avanity-31-in-x-22-in-Vitreous-China-Vanity-Top-with-Rectangular-Bowl-in-White-CUT31WT/202831380?keyword=202831380</t>
  </si>
  <si>
    <t>http://www.homedepot.com/p/KOHLER-Ceramic-Impression-61-in-Vitreous-China-Double-Vanity-Top-with-Basin-in-White-Impressions-K-2789-1-G81/205750611?keyword=205750611</t>
  </si>
  <si>
    <t xml:space="preserve">Toilet </t>
  </si>
  <si>
    <t>http://www.homedepot.com/p/KOHLER-Cimarron-2-piece-1-28-GPF-Single-Flush-Round-Toilet-in-White-K-15409-0/203014123?keyword=203014123</t>
  </si>
  <si>
    <t>Showers</t>
  </si>
  <si>
    <t>http://www.homedepot.com/p/DreamLine-Prime-36-in-x-36-in-x-74-75-in-Framed-Sliding-Shower-Enclosure-in-Chrome-with-Quarter-Round-Shower-Base-DL-6702-01CL/205156600?keyword=205156600</t>
  </si>
  <si>
    <t>Shower Tub Assembly Cheap</t>
  </si>
  <si>
    <t>https://www.homedepot.com/p/Aquatic-60-in-x-30-in-x-72-in-1-piece-Direct-to-Stud-Tub-Shower-Wall-in-White-260330SPCL-WH/203910584</t>
  </si>
  <si>
    <t>Bathtub 1</t>
  </si>
  <si>
    <t>http://www.homedepot.com/p/American-Standard-Savona-5-ft-x-42-in-Reversible-Drain-Oval-Soaking-Bathtub-in-White-2903-002-020/202516540?keyword=202516540</t>
  </si>
  <si>
    <t>Bathtub 2</t>
  </si>
  <si>
    <t>http://www.homedepot.com/p/KOHLER-Villager-5-ft-Cast-Iron-Right-Hand-Drain-Rectangular-Apron-Front-Non-Whirlpool-Bathtub-in-White-K-716-0/100069783?keyword=100069783</t>
  </si>
  <si>
    <t>Shower Tub</t>
  </si>
  <si>
    <t>http://www.homedepot.com/p/STERLING-All-Pro-60-in-x-30-in-x-72-3-4-in-Shower-Kit-with-Left-Drain-in-White-61040110-0/202101083?keyword=202101083</t>
  </si>
  <si>
    <t>Sink Faucet</t>
  </si>
  <si>
    <t>http://www.homedepot.com/p/MOEN-Banbury-8-in-Widespread-2-Handle-High-Arc-Bathroom-Faucet-in-Spot-Resist-Brushed-Nickel-WS84924SRN/206883372?keyword=206883372</t>
  </si>
  <si>
    <t>http://www.homedepot.com/p/Delta-Porter-Single-Handle-3-Spray-Shower-Faucet-in-Brushed-Nickel-142984-BN-A/206202996?keyword=206202996</t>
  </si>
  <si>
    <t>Medicine Cab</t>
  </si>
  <si>
    <t>http://www.homedepot.com/p/KOHLER-16-in-W-x-20-in-H-x-5-in-D-Aluminum-Recessed-Medicine-Cabinet-K-CB-CLR1620FS/100675408?keyword=100675408</t>
  </si>
  <si>
    <t>http://www.homedepot.com/p/Home-Decorators-Collection-Gazette-32-in-L-x-24-in-W-Framed-Wall-Mirror-in-White-GAWM2432/203284745?keyword=203284745</t>
  </si>
  <si>
    <t>Spray Foam Insulation Closed Cell</t>
  </si>
  <si>
    <t>board ft</t>
  </si>
  <si>
    <t>http://www.homedepot.com/p/Touch-n-Foam-600-Board-ft-Polyurethane-2-Component-Spray-Foam-Kit-4006062600/204962775</t>
  </si>
  <si>
    <t>Primed Finger-Jointed Base Molding</t>
  </si>
  <si>
    <t>http://www.homedepot.com/p/Woodgrain-Millwork-WM-623-9-16-in-x-3-1-4-in-x-96-in-Primed-Finger-Jointed-Base-Moulding-10000558/203209372</t>
  </si>
  <si>
    <t>Shop Steel Man Door</t>
  </si>
  <si>
    <t>http://www.homedepot.com/p/Masonite-36-in-x-80-in-Premium-Flush-Primed-Steel-Prehung-Front-Door-with-No-Brickmould-84178/204759995</t>
  </si>
  <si>
    <t>Shop Windows</t>
  </si>
  <si>
    <t>http://www.homedepot.com/p/TAFCO-WINDOWS-23-5-in-x-23-5-in-Utility-Left-Hand-Single-Sliding-Vinyl-Window-White-VUS2424OP/100660072</t>
  </si>
  <si>
    <t>Simpson Strong-Tie 1-1/4”x24” 20-GA</t>
  </si>
  <si>
    <t>1.67/each</t>
  </si>
  <si>
    <t>http://www.homedepot.com/p/Simpson-Strong-Tie-1-1-4-in-x-24-in-20-Gauge-Strap-LSTA24/100375306?keyword=lsta24+strap</t>
  </si>
  <si>
    <t>Simpson IUS1.81/11.88 1-3/4 in. x 11-7/8 in. Face Mount I-Joist Hanger</t>
  </si>
  <si>
    <t>$4.89/ each</t>
  </si>
  <si>
    <t>http://www.homedepot.com/p/Simpson-Strong-Tie-1-3-4-in-x-11-7-8-in-Face-Mount-I-Joist-Hanger-IUS1-81-11-88/203302218?keyword=IUS1.81%2F11.88</t>
  </si>
  <si>
    <t>Simpson U210R Rough Sawn 2x12 Face Mount Hanfer</t>
  </si>
  <si>
    <t>$4.15/each</t>
  </si>
  <si>
    <t>http://www.homedepot.com/p/Simpson-Strong-Tie-2-in-x-10-in-Rough-Face-Mount-Hanger-U210R/203302261?keyword=U210R</t>
  </si>
  <si>
    <t>http://www.homedepot.com/p/LG-Electronics-4-5-cu-ft-High-Efficiency-Front-Load-Washer-with-Steam-in-Graphite-Steel-ENERGY-STAR-WM3670HVA/207024837?keyword=WM3670HVA</t>
  </si>
  <si>
    <t>http://www.homedepot.com/p/LG-Electronics-7-4-cu-ft-Gas-Dryer-with-Steam-in-Graphite-Steel-ENERGY-STAR-DLGX3371V/205635528?keyword=DLGX3371V</t>
  </si>
  <si>
    <t>http://www.homedepot.com/p/KitchenAid-Architect-Series-II-Top-Control-Dishwasher-in-Stainless-Steel-with-Stainless-Steel-Tub-Ultra-Fine-Filter-43-dBA-KDTM354DSS/205397273</t>
  </si>
  <si>
    <t>http://www.homedepot.com/p/GE-25-4-cu-ft-Side-by-Side-Refrigerator-in-Stainless-Steel-GSS25GSHSS/205599120</t>
  </si>
  <si>
    <t>https://www.homedepot.com/p/Rheem-Performance-Platinum-9-5-GPM-Liquid-Propane-High-Efficiency-Indoor-Tankless-Water-Heater-ECOH200DVLP-1/206934438</t>
  </si>
  <si>
    <t>https://www.fasterhotwater.com/WQT%20coupon-code.php</t>
  </si>
  <si>
    <t>Water Heater 3.1 gpm for shop</t>
  </si>
  <si>
    <t>https://www.homedepot.com/p/MAREY-3-1-GPM-Liquid-Propane-Gas-Digital-Panel-Tankless-Water-Heater-GA10LPDP/204357327?MERCH=REC-_-rv_search_plp_rr-_-NA-_-204357327-_-N</t>
  </si>
  <si>
    <t>http://www.homedepot.com/p/Thor-Kitchen-36-in-Gas-Cooktop-in-Stainless-Steel-with-6-Burners-HRT3618U/300795394</t>
  </si>
  <si>
    <t>http://www.homedepot.com/p/Whirlpool-Gold-30-in-Double-Electric-Wall-Oven-Self-Cleaning-with-Convection-in-Stainless-Steel-WOD93EC0AS/203607911</t>
  </si>
  <si>
    <t>http://www.woodlanddirect.com/Wood-Stove-and-Accessories/Wood-Stoves-Large-Over-2000-sqft/Osburn-2300-Wood-Stove</t>
  </si>
  <si>
    <t>Fireplace, Direct Vent</t>
  </si>
  <si>
    <t>http://www.woodlanddirect.com/Fireplace-Accessories/Direct-Vent-Fireplaces/Empire-Deluxe-Tahoe-Direct-Vent-Gas-Fireplace-36</t>
  </si>
  <si>
    <t>http://www.homedepot.com/p/AKDY-30-in-Under-Cabinet-Range-Hood-in-Stainless-Steel-with-LEDs-and-Electronic-Push-Buttons-HD-RH0235/300317580</t>
  </si>
  <si>
    <t>http://www.homedepot.com/p/Pelican-Water-48-000-Grain-Heavy-Duty-Water-Softener-PLS48/301687666</t>
  </si>
  <si>
    <t>Reverse Osmosis Water Filtration System</t>
  </si>
  <si>
    <t>http://www.homedepot.com/p/ISPRING-Dual-Flow-500-GPD-Commercial-Grade-Tankless-Under-Sink-Reverse-Osmosis-Water-Filtration-System-w-1-1-Filter-Drain-Ratio-RCS5T/2065044971</t>
  </si>
  <si>
    <t>Sewage Pump</t>
  </si>
  <si>
    <t>https://www.homedepot.com/p/Liberty-Pumps-Pro380-Series-4-10-HP-Submersible-Pre-Assembled-Simplex-Sewage-System-with-LE41-Pump-24-in-x-24-in-Polyethylene-Basin-P382LE41/302038781</t>
  </si>
  <si>
    <t>Bath Exhaust Fan</t>
  </si>
  <si>
    <t>https://www.homedepot.com/p/Panasonic-WhisperCeiling-110-CFM-Ceiling-Exhaust-Bath-Fan-ENERGY-STAR-FV-11VQ5/203762022</t>
  </si>
  <si>
    <t>HRV Honeywell VNT5200H1000 200 CFM Heat Recovery Ventilato</t>
  </si>
  <si>
    <t>https://www.amazon.com/Honeywell-VNT5200H1000-Heat-Recovery-Ventilator/dp/B00722UIHE/ref=sr_1_17?ie=UTF8&amp;qid=1521844215&amp;sr=8-17&amp;keywords=heat+recovery+ventilator</t>
  </si>
  <si>
    <t>Elgin B43 Pad With Fabric and Clamps</t>
  </si>
  <si>
    <t>Bushnell Investments 3587 South Meridian, Apache Junction, AZ 85217 Contact: Roger Bushnell Phone: (480) 206-6811</t>
  </si>
  <si>
    <t>Elgin A42 Pad With Fabric and Clamps</t>
  </si>
  <si>
    <t>Concrete Sand $21/Ton</t>
  </si>
  <si>
    <t>Ton</t>
  </si>
  <si>
    <t>http://www.prescottdirt.com/portfolio-item/concrete-sand/</t>
  </si>
  <si>
    <t>4-in x 10-ft Perforated PVC Sewer Drain Pipe</t>
  </si>
  <si>
    <t>https://www.lowes.com/pd/4-in-x-10-ft-Perforated-PVC-Sewer-Drain-Pipe/3449536</t>
  </si>
  <si>
    <t>4 in. x 20 ft. PVC Sewer Main SDR 35 Pipe with Gasket</t>
  </si>
  <si>
    <t>https://www.lowes.com/pd/Charlotte-Pipe-4-in-x-10-ft-Solid-PVC-Sewer-Drain-Pipe/3133159</t>
  </si>
  <si>
    <t>https://hughessupply.com/prescott/</t>
  </si>
  <si>
    <t>400 Amp 4-Space 4-Circuit Levery Bypass Meter Main Combination with and Ringless Cover</t>
  </si>
  <si>
    <t>https://www.homedepot.com/p/Siemens-400-Amp-4-Space-4-Circuit-Levery-Bypass-Meter-Main-Combination-with-and-Ringless-Cover-MM0404L1400RLM/302878820?MERCH=REC-_-PIPHorizontal2_rr-_-100140344-_-302878820-_-N</t>
  </si>
  <si>
    <t>ES Series 200 Amp 40-Space 60-Circuit Main Breaker Load Center with 60kA FirstSurge Device Installed</t>
  </si>
  <si>
    <t>https://www.homedepot.com/p/Siemens-ES-Series-200-Amp-40-Space-60-Circuit-Main-Breaker-Load-Center-with-60kA-FirstSurge-Device-Installed-S4060B1200S060/300077952</t>
  </si>
  <si>
    <t>15 Amp Single-Pole Circuit Breaker QAFH2 Combo AFCI</t>
  </si>
  <si>
    <t>https://www.homedepot.com/p/Siemens-15-Amp-Single-Pole-Circuit-Breaker-QAFH2-Combo-AFCI-QA115AFCH/302649396</t>
  </si>
  <si>
    <t>15 Amp Single-Pole Branch Feeder AFCI Circuit Breaker</t>
  </si>
  <si>
    <t>https://www.homedepot.com/p/Siemens-15-Amp-Single-Pole-Branch-Feeder-AFCI-Circuit-Breaker-US2-QA115AF/301395761</t>
  </si>
  <si>
    <t>20 Amp Single-Pole Circuit Breaker BAF2 Combo AFCI</t>
  </si>
  <si>
    <t>https://www.homedepot.com/p/Siemens-20-Amp-Single-Pole-Circuit-Breaker-BAF2-Combo-AFCI-BA120AFC/302649398</t>
  </si>
  <si>
    <t>20 Amp Double Pole Type QPF2 GFCI Circuit Breaker</t>
  </si>
  <si>
    <t>https://www.homedepot.com/b/Electrical-Power-Distribution-Circuit-Breakers-2-Pole-Breakers/Siemens/GFCI/20/N-5yc1vZbm1eZ1ddZ1z0mh9uZ1z0u3fe</t>
  </si>
  <si>
    <t>30 Amp Double Pole Type QPF2 GFCI Circuit Breaker</t>
  </si>
  <si>
    <t>https://www.homedepot.com/p/Siemens-30-Amp-Double-Pole-Type-QPF2-GFCI-Circuit-Breaker-US2-QF230AP/206965318</t>
  </si>
  <si>
    <t>50 Amp Double Pole Type QE Ground Fault Equipment Protection Circuit Breaker</t>
  </si>
  <si>
    <t>https://www.homedepot.com/p/Siemens-50-Amp-Double-Pole-Type-QE-Ground-Fault-Equipment-Protection-Circuit-Breaker-QE250/302469491</t>
  </si>
  <si>
    <t>200 Amp 2-Pole 10kA Type QN Reverse Handle Main Breaker</t>
  </si>
  <si>
    <t>https://www.homedepot.com/p/Siemens-200-Amp-2-Pole-10kA-Type-QN-Reverse-Handle-Main-Breaker-QN2200R/100072323</t>
  </si>
  <si>
    <t>Septic Tank, 2,500 gal , Yavapai Precast delivery included</t>
  </si>
  <si>
    <t>928-445-4340, talked to Mark on 1/19/18</t>
  </si>
  <si>
    <t>1,250 Septic Tank SI 1250 SEPTIC LP 2CP, Loomis Tank Center</t>
  </si>
  <si>
    <t>http://shop.loomistank.com/product/0/LSI43503/_/SI_1250_SEPTIC_LP_2CP#.WmIeq66nGUm</t>
  </si>
  <si>
    <t>Total Construction Budget 8-17-18</t>
  </si>
  <si>
    <t>OUTSOURCED LABOR</t>
  </si>
  <si>
    <t>MAN HRS</t>
  </si>
  <si>
    <t>Land</t>
  </si>
  <si>
    <t>Plans Printing</t>
  </si>
  <si>
    <t>Building Permits &amp; Fees</t>
  </si>
  <si>
    <t>APS Power Connection</t>
  </si>
  <si>
    <t>Septic</t>
  </si>
  <si>
    <t>Well Water Line</t>
  </si>
  <si>
    <t>Grade Lot</t>
  </si>
  <si>
    <t>Misc Equipment Rental</t>
  </si>
  <si>
    <t>Misc Tools</t>
  </si>
  <si>
    <t>Shop Construction</t>
  </si>
  <si>
    <t>House Construction</t>
  </si>
  <si>
    <t>Landscaping</t>
  </si>
  <si>
    <t>Cleanup Dump Fee</t>
  </si>
  <si>
    <t>Termite Treatment</t>
  </si>
  <si>
    <t>10% Contingency</t>
  </si>
  <si>
    <t>Total with 10% Contingency</t>
  </si>
  <si>
    <t xml:space="preserve"> </t>
  </si>
  <si>
    <t>Date</t>
  </si>
  <si>
    <t>Store/Supplier</t>
  </si>
  <si>
    <t>Receipt/Invoice #</t>
  </si>
  <si>
    <t>Price</t>
  </si>
  <si>
    <t>Tax</t>
  </si>
  <si>
    <t>Shipping + other</t>
  </si>
  <si>
    <t>Final Price</t>
  </si>
  <si>
    <t>Sub-Category</t>
  </si>
  <si>
    <t>Payment Type</t>
  </si>
  <si>
    <t>Receipt File Name</t>
  </si>
  <si>
    <t>Yavapai County Development Services</t>
  </si>
  <si>
    <t>Septic Site Investigation</t>
  </si>
  <si>
    <t>Permitting Fees</t>
  </si>
  <si>
    <t>Check</t>
  </si>
  <si>
    <t>20181203_01_Septic_Permit.pdf</t>
  </si>
  <si>
    <t>Septic Permit</t>
  </si>
  <si>
    <t>Town of Dewey-Humboldt</t>
  </si>
  <si>
    <t>Grading Permit Deposit</t>
  </si>
  <si>
    <t>20180405_01_Grading_Permit.pdf</t>
  </si>
  <si>
    <t>A&amp;E Reprographics</t>
  </si>
  <si>
    <t>9202</t>
  </si>
  <si>
    <t>CC</t>
  </si>
  <si>
    <t>20180529_01_Plans_Printing.pdf</t>
  </si>
  <si>
    <t>Mid-South Metal Products Inc (versatube)</t>
  </si>
  <si>
    <t>100004719</t>
  </si>
  <si>
    <t>Versatube 34x54x16 w/12 lean to metal building</t>
  </si>
  <si>
    <t>Metal Building</t>
  </si>
  <si>
    <t>20180313_01_VersaTube_Metal_Building.pdf</t>
  </si>
  <si>
    <t>067613</t>
  </si>
  <si>
    <t>Grading Permit</t>
  </si>
  <si>
    <t>067604</t>
  </si>
  <si>
    <t>Building Permit Deposit (House)</t>
  </si>
  <si>
    <t>20180619_01_Building_Permit.pdf</t>
  </si>
  <si>
    <t>9621</t>
  </si>
  <si>
    <t>0899</t>
  </si>
  <si>
    <t>Farrel Equipment &amp; Control Inc (flows.com)</t>
  </si>
  <si>
    <t>10608</t>
  </si>
  <si>
    <t>Water Meter</t>
  </si>
  <si>
    <t>Water Line</t>
  </si>
  <si>
    <t>20180613_01_Water_Meter.pdf</t>
  </si>
  <si>
    <t>G&amp;S Gravel Inc</t>
  </si>
  <si>
    <t>56498</t>
  </si>
  <si>
    <t>15 tons 3/16 minus, 15 tons sand</t>
  </si>
  <si>
    <t>Back fill</t>
  </si>
  <si>
    <t>Check has not cleared as of 7-9-18</t>
  </si>
  <si>
    <t>20180615_01_Waterline_Backfill_Material.pdf</t>
  </si>
  <si>
    <t>Hughes Supply</t>
  </si>
  <si>
    <t>S153204040.001</t>
  </si>
  <si>
    <t>Water Line and fittings</t>
  </si>
  <si>
    <t>Pipe and Fittings</t>
  </si>
  <si>
    <t>20180618_01_Water_Line_Plumbing.pdf</t>
  </si>
  <si>
    <t>067677</t>
  </si>
  <si>
    <t>Building Permit (House)</t>
  </si>
  <si>
    <t>Building Permit Deposit (Workshop)</t>
  </si>
  <si>
    <t>Home Depot (Prescott Valley)</t>
  </si>
  <si>
    <t>0446 00057 96792</t>
  </si>
  <si>
    <t>Water Line Fittings</t>
  </si>
  <si>
    <t>Pipe Fittings</t>
  </si>
  <si>
    <t>20180620_01_Water_Line_Fittings.pdf</t>
  </si>
  <si>
    <t>0446 00057 03012</t>
  </si>
  <si>
    <t>Foundation Misc</t>
  </si>
  <si>
    <t>Stakes, paint</t>
  </si>
  <si>
    <t>20180623_01_Foundation_Misc_Marking.pdf</t>
  </si>
  <si>
    <t>Washington Federal</t>
  </si>
  <si>
    <t>Credit Check Fee</t>
  </si>
  <si>
    <t>20180702_01_WF_Loan_Credit_Check.pdf</t>
  </si>
  <si>
    <t>S153347062.001</t>
  </si>
  <si>
    <t>Tracer Wire</t>
  </si>
  <si>
    <t>CC 9736</t>
  </si>
  <si>
    <t>20180705_02_Water_Line_Tracer_Wire.pdf</t>
  </si>
  <si>
    <t>12401835</t>
  </si>
  <si>
    <t>Appraisal Fee</t>
  </si>
  <si>
    <t>Loan</t>
  </si>
  <si>
    <t>Fee</t>
  </si>
  <si>
    <t>20180710_01_Appraisal_Fee.pdf</t>
  </si>
  <si>
    <t>067713</t>
  </si>
  <si>
    <t>Workshop Permit Fee</t>
  </si>
  <si>
    <t>Check 347</t>
  </si>
  <si>
    <t>20180719_01_Workshop_Permit.pdf</t>
  </si>
  <si>
    <t>Yavapai Steel</t>
  </si>
  <si>
    <t>85197</t>
  </si>
  <si>
    <t>#4 Rebar – 154 @ 20' (1 bundle)</t>
  </si>
  <si>
    <t>Foundation</t>
  </si>
  <si>
    <t>Rebar</t>
  </si>
  <si>
    <t>20180723_Foundation_Rebar.pdf</t>
  </si>
  <si>
    <t>FoxworthGalbraith</t>
  </si>
  <si>
    <t>53242052</t>
  </si>
  <si>
    <t>Dobies 500 quantity</t>
  </si>
  <si>
    <t>Rebar Dobbies</t>
  </si>
  <si>
    <t>20180725_01_Foundation_Supplies_Foxgal.pdf</t>
  </si>
  <si>
    <t>53242054</t>
  </si>
  <si>
    <t>Wire, Anchor Bolts</t>
  </si>
  <si>
    <t>0446 00057 64725</t>
  </si>
  <si>
    <t>20180726_Foundation_Misc_Home_Depot.pdf</t>
  </si>
  <si>
    <t>HELOC CLOSING MONEY</t>
  </si>
  <si>
    <t>G&amp;S Gravel</t>
  </si>
  <si>
    <t>57409</t>
  </si>
  <si>
    <t>Shop ABC Material</t>
  </si>
  <si>
    <t>Shop Foundation</t>
  </si>
  <si>
    <t>ABC Material</t>
  </si>
  <si>
    <t>Check 350</t>
  </si>
  <si>
    <t>20181019_01_Shop_ABC_Material.pdf</t>
  </si>
  <si>
    <t>Home Depot</t>
  </si>
  <si>
    <t>04460005845334</t>
  </si>
  <si>
    <t>ABS Pipe/Fittings</t>
  </si>
  <si>
    <t>Shop Plumbing</t>
  </si>
  <si>
    <t>Waste Plumbing</t>
  </si>
  <si>
    <t>20181019_02_Shop_Plumbing.pdf</t>
  </si>
  <si>
    <t>Hughes Plumbing Supply</t>
  </si>
  <si>
    <t>S154193780.001</t>
  </si>
  <si>
    <t>PEX Pipe and Fittings</t>
  </si>
  <si>
    <t>201819_03_Shop_Plumbing.pdf</t>
  </si>
  <si>
    <t>WA40492637</t>
  </si>
  <si>
    <t>Tools</t>
  </si>
  <si>
    <t>PEX Tool</t>
  </si>
  <si>
    <t>20181021_01_Pex_Tool.pdf</t>
  </si>
  <si>
    <t>04460005619838</t>
  </si>
  <si>
    <t>Drain Line Fittings</t>
  </si>
  <si>
    <t>20181025_01_Shop_Plumbing.pdf</t>
  </si>
</sst>
</file>

<file path=xl/styles.xml><?xml version="1.0" encoding="utf-8"?>
<styleSheet xmlns="http://schemas.openxmlformats.org/spreadsheetml/2006/main">
  <numFmts count="13">
    <numFmt numFmtId="164" formatCode="GENERAL"/>
    <numFmt numFmtId="165" formatCode="[$$-409]#,##0;\-[$$-409]#,##0"/>
    <numFmt numFmtId="166" formatCode="[$$-409]#,##0.00;[RED]\-[$$-409]#,##0.00"/>
    <numFmt numFmtId="167" formatCode="#,##0.00"/>
    <numFmt numFmtId="168" formatCode="MM/DD/YY"/>
    <numFmt numFmtId="169" formatCode="#,##0"/>
    <numFmt numFmtId="170" formatCode="0"/>
    <numFmt numFmtId="171" formatCode="0.00%"/>
    <numFmt numFmtId="172" formatCode="[$$-409]#,##0.00000;[RED]\-[$$-409]#,##0.00000"/>
    <numFmt numFmtId="173" formatCode="\$#,##0_);[RED]&quot;($&quot;#,##0\)"/>
    <numFmt numFmtId="174" formatCode="D\-MMM"/>
    <numFmt numFmtId="175" formatCode="0.0"/>
    <numFmt numFmtId="176" formatCode="@"/>
  </numFmts>
  <fonts count="37">
    <font>
      <sz val="10"/>
      <name val="Arial"/>
      <family val="2"/>
    </font>
    <font>
      <b/>
      <sz val="14"/>
      <name val="Arial"/>
      <family val="2"/>
    </font>
    <font>
      <b/>
      <sz val="10"/>
      <name val="Arial"/>
      <family val="2"/>
    </font>
    <font>
      <b/>
      <sz val="10"/>
      <name val="Times New Roman"/>
      <family val="1"/>
    </font>
    <font>
      <sz val="10"/>
      <name val="Times New Roman"/>
      <family val="1"/>
    </font>
    <font>
      <b/>
      <sz val="12"/>
      <name val="Times New Roman"/>
      <family val="1"/>
    </font>
    <font>
      <b/>
      <sz val="18"/>
      <name val="Arial"/>
      <family val="2"/>
    </font>
    <font>
      <b/>
      <sz val="16"/>
      <name val="Arial"/>
      <family val="2"/>
    </font>
    <font>
      <b/>
      <u val="single"/>
      <sz val="10"/>
      <name val="Arial"/>
      <family val="2"/>
    </font>
    <font>
      <sz val="10"/>
      <color indexed="12"/>
      <name val="Arial"/>
      <family val="2"/>
    </font>
    <font>
      <sz val="10"/>
      <color indexed="8"/>
      <name val="Arial"/>
      <family val="2"/>
    </font>
    <font>
      <sz val="10"/>
      <color indexed="25"/>
      <name val="Arial"/>
      <family val="2"/>
    </font>
    <font>
      <vertAlign val="superscript"/>
      <sz val="10"/>
      <name val="Arial"/>
      <family val="2"/>
    </font>
    <font>
      <sz val="10"/>
      <color indexed="10"/>
      <name val="Arial"/>
      <family val="2"/>
    </font>
    <font>
      <b/>
      <vertAlign val="superscript"/>
      <sz val="10"/>
      <name val="Arial"/>
      <family val="2"/>
    </font>
    <font>
      <sz val="13"/>
      <color indexed="8"/>
      <name val="Arial"/>
      <family val="2"/>
    </font>
    <font>
      <sz val="10"/>
      <name val="MS Shell Dlg"/>
      <family val="0"/>
    </font>
    <font>
      <b/>
      <i/>
      <sz val="10"/>
      <name val="Arial"/>
      <family val="2"/>
    </font>
    <font>
      <sz val="10"/>
      <color indexed="63"/>
      <name val="Arial"/>
      <family val="2"/>
    </font>
    <font>
      <b/>
      <i/>
      <sz val="10"/>
      <color indexed="8"/>
      <name val="Arial"/>
      <family val="2"/>
    </font>
    <font>
      <sz val="10"/>
      <color indexed="17"/>
      <name val="Arial"/>
      <family val="2"/>
    </font>
    <font>
      <b/>
      <sz val="12"/>
      <name val="Arial"/>
      <family val="2"/>
    </font>
    <font>
      <b/>
      <sz val="10"/>
      <color indexed="25"/>
      <name val="Arial"/>
      <family val="2"/>
    </font>
    <font>
      <sz val="11"/>
      <color indexed="8"/>
      <name val="Calibri"/>
      <family val="2"/>
    </font>
    <font>
      <b/>
      <sz val="11"/>
      <color indexed="8"/>
      <name val="Calibri"/>
      <family val="2"/>
    </font>
    <font>
      <u val="single"/>
      <sz val="11"/>
      <color indexed="12"/>
      <name val="Calibri"/>
      <family val="2"/>
    </font>
    <font>
      <sz val="22"/>
      <name val="Arial"/>
      <family val="2"/>
    </font>
    <font>
      <sz val="10"/>
      <name val="ARIAL;HELVETICA;SAN SERIF"/>
      <family val="2"/>
    </font>
    <font>
      <sz val="7"/>
      <name val="Arial"/>
      <family val="2"/>
    </font>
    <font>
      <sz val="7.5"/>
      <name val="Arial"/>
      <family val="2"/>
    </font>
    <font>
      <sz val="4"/>
      <name val="Arial"/>
      <family val="2"/>
    </font>
    <font>
      <sz val="8"/>
      <name val="Arial"/>
      <family val="2"/>
    </font>
    <font>
      <sz val="6.5"/>
      <name val="Arial"/>
      <family val="2"/>
    </font>
    <font>
      <sz val="6"/>
      <name val="Arial"/>
      <family val="2"/>
    </font>
    <font>
      <sz val="9"/>
      <name val="Arial"/>
      <family val="2"/>
    </font>
    <font>
      <sz val="8.5"/>
      <name val="Arial"/>
      <family val="2"/>
    </font>
    <font>
      <b/>
      <sz val="22"/>
      <name val="Arial"/>
      <family val="2"/>
    </font>
  </fonts>
  <fills count="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5"/>
        <bgColor indexed="64"/>
      </patternFill>
    </fill>
    <fill>
      <patternFill patternType="solid">
        <fgColor indexed="9"/>
        <bgColor indexed="64"/>
      </patternFill>
    </fill>
    <fill>
      <patternFill patternType="solid">
        <fgColor indexed="60"/>
        <bgColor indexed="64"/>
      </patternFill>
    </fill>
  </fills>
  <borders count="17">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5" fillId="0" borderId="0">
      <alignment/>
      <protection/>
    </xf>
    <xf numFmtId="164" fontId="23" fillId="0" borderId="0">
      <alignment/>
      <protection/>
    </xf>
  </cellStyleXfs>
  <cellXfs count="373">
    <xf numFmtId="164" fontId="0" fillId="0" borderId="0" xfId="0" applyAlignment="1">
      <alignment/>
    </xf>
    <xf numFmtId="164" fontId="1" fillId="0" borderId="1" xfId="0" applyFont="1" applyBorder="1" applyAlignment="1">
      <alignment horizontal="left"/>
    </xf>
    <xf numFmtId="164" fontId="0" fillId="0" borderId="2" xfId="0" applyBorder="1" applyAlignment="1">
      <alignment/>
    </xf>
    <xf numFmtId="164" fontId="0" fillId="0" borderId="3" xfId="0" applyBorder="1" applyAlignment="1">
      <alignment/>
    </xf>
    <xf numFmtId="164" fontId="2" fillId="0" borderId="1" xfId="0" applyFont="1" applyBorder="1" applyAlignment="1">
      <alignment horizontal="center"/>
    </xf>
    <xf numFmtId="164" fontId="3" fillId="0" borderId="4" xfId="0" applyFont="1" applyBorder="1" applyAlignment="1">
      <alignment wrapText="1"/>
    </xf>
    <xf numFmtId="164" fontId="3" fillId="0" borderId="0" xfId="0" applyFont="1" applyAlignment="1">
      <alignment wrapText="1"/>
    </xf>
    <xf numFmtId="164" fontId="0" fillId="0" borderId="5" xfId="0" applyFont="1" applyBorder="1" applyAlignment="1">
      <alignment/>
    </xf>
    <xf numFmtId="164" fontId="4" fillId="0" borderId="4" xfId="0" applyFont="1" applyBorder="1" applyAlignment="1">
      <alignment wrapText="1"/>
    </xf>
    <xf numFmtId="164" fontId="4" fillId="0" borderId="0" xfId="0" applyFont="1" applyAlignment="1">
      <alignment wrapText="1"/>
    </xf>
    <xf numFmtId="164" fontId="4" fillId="0" borderId="0" xfId="0" applyFont="1" applyBorder="1" applyAlignment="1">
      <alignment wrapText="1"/>
    </xf>
    <xf numFmtId="165" fontId="4" fillId="0" borderId="0" xfId="0" applyNumberFormat="1" applyFont="1" applyAlignment="1">
      <alignment wrapText="1"/>
    </xf>
    <xf numFmtId="166" fontId="0" fillId="0" borderId="0" xfId="0" applyNumberFormat="1" applyAlignment="1">
      <alignment/>
    </xf>
    <xf numFmtId="167" fontId="0" fillId="0" borderId="0" xfId="0" applyNumberFormat="1" applyAlignment="1">
      <alignment/>
    </xf>
    <xf numFmtId="167" fontId="0" fillId="0" borderId="5" xfId="0" applyNumberFormat="1" applyBorder="1" applyAlignment="1">
      <alignment/>
    </xf>
    <xf numFmtId="164" fontId="4" fillId="0" borderId="6" xfId="0" applyFont="1" applyBorder="1" applyAlignment="1">
      <alignment wrapText="1"/>
    </xf>
    <xf numFmtId="165" fontId="4" fillId="0" borderId="7" xfId="0" applyNumberFormat="1" applyFont="1" applyBorder="1" applyAlignment="1">
      <alignment wrapText="1"/>
    </xf>
    <xf numFmtId="164" fontId="0" fillId="0" borderId="7" xfId="0" applyBorder="1" applyAlignment="1">
      <alignment/>
    </xf>
    <xf numFmtId="166" fontId="0" fillId="0" borderId="7" xfId="0" applyNumberFormat="1" applyBorder="1" applyAlignment="1">
      <alignment/>
    </xf>
    <xf numFmtId="167" fontId="0" fillId="0" borderId="7" xfId="0" applyNumberFormat="1" applyBorder="1" applyAlignment="1">
      <alignment/>
    </xf>
    <xf numFmtId="167" fontId="0" fillId="0" borderId="8" xfId="0" applyNumberFormat="1" applyBorder="1" applyAlignment="1">
      <alignment/>
    </xf>
    <xf numFmtId="166" fontId="4" fillId="0" borderId="7" xfId="0" applyNumberFormat="1" applyFont="1" applyBorder="1" applyAlignment="1">
      <alignment wrapText="1"/>
    </xf>
    <xf numFmtId="164" fontId="0" fillId="0" borderId="0" xfId="0" applyNumberFormat="1" applyAlignment="1">
      <alignment/>
    </xf>
    <xf numFmtId="164" fontId="1" fillId="0" borderId="0" xfId="0" applyFont="1" applyBorder="1" applyAlignment="1">
      <alignment horizontal="left"/>
    </xf>
    <xf numFmtId="166" fontId="4" fillId="0" borderId="0" xfId="0" applyNumberFormat="1" applyFont="1" applyAlignment="1">
      <alignment wrapText="1"/>
    </xf>
    <xf numFmtId="164" fontId="5" fillId="0" borderId="0" xfId="0" applyFont="1" applyAlignment="1">
      <alignment wrapText="1"/>
    </xf>
    <xf numFmtId="164" fontId="0" fillId="0" borderId="0" xfId="0" applyFont="1" applyBorder="1" applyAlignment="1">
      <alignment horizontal="left" wrapText="1"/>
    </xf>
    <xf numFmtId="164" fontId="0" fillId="0" borderId="0" xfId="0" applyFont="1" applyBorder="1" applyAlignment="1">
      <alignment wrapText="1"/>
    </xf>
    <xf numFmtId="164" fontId="2" fillId="0" borderId="0" xfId="0" applyFont="1" applyAlignment="1">
      <alignment/>
    </xf>
    <xf numFmtId="168" fontId="6" fillId="0" borderId="1" xfId="0" applyNumberFormat="1" applyFont="1" applyBorder="1" applyAlignment="1">
      <alignment horizontal="center"/>
    </xf>
    <xf numFmtId="168" fontId="0" fillId="0" borderId="2" xfId="0" applyNumberFormat="1" applyBorder="1" applyAlignment="1">
      <alignment horizontal="center"/>
    </xf>
    <xf numFmtId="164" fontId="1" fillId="0" borderId="4" xfId="0" applyFont="1" applyBorder="1" applyAlignment="1">
      <alignment horizontal="left"/>
    </xf>
    <xf numFmtId="164" fontId="1" fillId="0" borderId="0" xfId="0" applyFont="1" applyAlignment="1">
      <alignment horizontal="left"/>
    </xf>
    <xf numFmtId="164" fontId="2" fillId="0" borderId="4" xfId="0" applyFont="1" applyBorder="1" applyAlignment="1">
      <alignment horizontal="left"/>
    </xf>
    <xf numFmtId="166" fontId="2" fillId="0" borderId="0" xfId="0" applyNumberFormat="1" applyFont="1" applyAlignment="1">
      <alignment/>
    </xf>
    <xf numFmtId="164" fontId="0" fillId="0" borderId="5" xfId="0" applyNumberFormat="1" applyBorder="1" applyAlignment="1">
      <alignment/>
    </xf>
    <xf numFmtId="164" fontId="0" fillId="0" borderId="4" xfId="0" applyFont="1" applyBorder="1" applyAlignment="1">
      <alignment horizontal="left"/>
    </xf>
    <xf numFmtId="166" fontId="0" fillId="0" borderId="0" xfId="0" applyNumberFormat="1" applyAlignment="1">
      <alignment horizontal="right"/>
    </xf>
    <xf numFmtId="166" fontId="0" fillId="0" borderId="0" xfId="0" applyNumberFormat="1" applyFont="1" applyBorder="1" applyAlignment="1">
      <alignment horizontal="right"/>
    </xf>
    <xf numFmtId="164" fontId="0" fillId="0" borderId="0" xfId="0" applyFont="1" applyBorder="1" applyAlignment="1">
      <alignment horizontal="right"/>
    </xf>
    <xf numFmtId="164" fontId="0" fillId="0" borderId="0" xfId="0" applyAlignment="1">
      <alignment horizontal="right"/>
    </xf>
    <xf numFmtId="166" fontId="0" fillId="0" borderId="0" xfId="0" applyNumberFormat="1" applyFont="1" applyAlignment="1">
      <alignment horizontal="right"/>
    </xf>
    <xf numFmtId="164" fontId="0" fillId="0" borderId="4" xfId="0" applyBorder="1" applyAlignment="1">
      <alignment/>
    </xf>
    <xf numFmtId="164" fontId="2" fillId="0" borderId="4" xfId="0" applyFont="1" applyBorder="1" applyAlignment="1">
      <alignment/>
    </xf>
    <xf numFmtId="164" fontId="0" fillId="0" borderId="4" xfId="0" applyNumberFormat="1" applyBorder="1" applyAlignment="1">
      <alignment/>
    </xf>
    <xf numFmtId="164" fontId="0" fillId="0" borderId="0" xfId="0" applyFont="1" applyAlignment="1">
      <alignment/>
    </xf>
    <xf numFmtId="164" fontId="1" fillId="0" borderId="9" xfId="0" applyFont="1" applyBorder="1" applyAlignment="1">
      <alignment/>
    </xf>
    <xf numFmtId="169" fontId="1" fillId="0" borderId="10" xfId="0" applyNumberFormat="1" applyFont="1" applyBorder="1" applyAlignment="1">
      <alignment horizontal="right"/>
    </xf>
    <xf numFmtId="166" fontId="2" fillId="0" borderId="7" xfId="0" applyNumberFormat="1" applyFont="1" applyBorder="1" applyAlignment="1">
      <alignment/>
    </xf>
    <xf numFmtId="164" fontId="0" fillId="0" borderId="7" xfId="0" applyNumberFormat="1" applyBorder="1" applyAlignment="1">
      <alignment/>
    </xf>
    <xf numFmtId="164" fontId="0" fillId="0" borderId="8" xfId="0" applyNumberFormat="1" applyBorder="1" applyAlignment="1">
      <alignment/>
    </xf>
    <xf numFmtId="164" fontId="7" fillId="0" borderId="11" xfId="0" applyFont="1" applyBorder="1" applyAlignment="1">
      <alignment horizontal="center"/>
    </xf>
    <xf numFmtId="164" fontId="2" fillId="0" borderId="11" xfId="0" applyFont="1" applyBorder="1" applyAlignment="1">
      <alignment horizontal="center"/>
    </xf>
    <xf numFmtId="164" fontId="1" fillId="0" borderId="0" xfId="0" applyFont="1" applyAlignment="1">
      <alignment/>
    </xf>
    <xf numFmtId="164" fontId="1" fillId="0" borderId="5" xfId="0" applyFont="1" applyBorder="1" applyAlignment="1">
      <alignment/>
    </xf>
    <xf numFmtId="164" fontId="8" fillId="0" borderId="4" xfId="0" applyFont="1" applyBorder="1" applyAlignment="1">
      <alignment/>
    </xf>
    <xf numFmtId="166" fontId="0" fillId="0" borderId="5" xfId="0" applyNumberFormat="1" applyBorder="1" applyAlignment="1">
      <alignment/>
    </xf>
    <xf numFmtId="164" fontId="0" fillId="0" borderId="0" xfId="0" applyBorder="1" applyAlignment="1">
      <alignment/>
    </xf>
    <xf numFmtId="164" fontId="0" fillId="0" borderId="4" xfId="0" applyFont="1" applyBorder="1" applyAlignment="1">
      <alignment/>
    </xf>
    <xf numFmtId="164" fontId="2" fillId="0" borderId="4" xfId="0" applyFont="1" applyBorder="1" applyAlignment="1">
      <alignment horizontal="center"/>
    </xf>
    <xf numFmtId="164" fontId="2" fillId="0" borderId="0" xfId="0" applyFont="1" applyBorder="1" applyAlignment="1">
      <alignment/>
    </xf>
    <xf numFmtId="164" fontId="9" fillId="0" borderId="4" xfId="0" applyFont="1" applyBorder="1" applyAlignment="1">
      <alignment/>
    </xf>
    <xf numFmtId="164" fontId="0" fillId="2" borderId="4" xfId="0" applyFont="1" applyFill="1" applyBorder="1" applyAlignment="1">
      <alignment/>
    </xf>
    <xf numFmtId="164" fontId="0" fillId="2" borderId="0" xfId="0" applyFill="1" applyBorder="1" applyAlignment="1">
      <alignment/>
    </xf>
    <xf numFmtId="164" fontId="0" fillId="2" borderId="0" xfId="0" applyFill="1" applyAlignment="1">
      <alignment/>
    </xf>
    <xf numFmtId="164" fontId="10" fillId="0" borderId="4" xfId="0" applyFont="1" applyBorder="1" applyAlignment="1">
      <alignment/>
    </xf>
    <xf numFmtId="166" fontId="10" fillId="0" borderId="0" xfId="0" applyNumberFormat="1" applyFont="1" applyAlignment="1">
      <alignment/>
    </xf>
    <xf numFmtId="166" fontId="10" fillId="0" borderId="5" xfId="0" applyNumberFormat="1" applyFont="1" applyBorder="1" applyAlignment="1">
      <alignment/>
    </xf>
    <xf numFmtId="164" fontId="10" fillId="0" borderId="0" xfId="0" applyFont="1" applyAlignment="1">
      <alignment/>
    </xf>
    <xf numFmtId="164" fontId="0" fillId="0" borderId="4" xfId="0" applyFont="1" applyBorder="1" applyAlignment="1">
      <alignment horizontal="right"/>
    </xf>
    <xf numFmtId="164" fontId="0" fillId="0" borderId="0" xfId="0" applyBorder="1" applyAlignment="1">
      <alignment horizontal="center"/>
    </xf>
    <xf numFmtId="164" fontId="11" fillId="0" borderId="0" xfId="0" applyFont="1" applyAlignment="1">
      <alignment/>
    </xf>
    <xf numFmtId="164" fontId="0" fillId="0" borderId="0" xfId="0" applyAlignment="1">
      <alignment horizontal="center"/>
    </xf>
    <xf numFmtId="169" fontId="2" fillId="0" borderId="0" xfId="0" applyNumberFormat="1" applyFont="1" applyAlignment="1">
      <alignment/>
    </xf>
    <xf numFmtId="164" fontId="0" fillId="0" borderId="4" xfId="0" applyFont="1" applyBorder="1" applyAlignment="1">
      <alignment/>
    </xf>
    <xf numFmtId="166" fontId="0" fillId="0" borderId="0" xfId="0" applyNumberFormat="1" applyFont="1" applyAlignment="1">
      <alignment/>
    </xf>
    <xf numFmtId="166" fontId="0" fillId="0" borderId="5" xfId="0" applyNumberFormat="1" applyFont="1" applyBorder="1" applyAlignment="1">
      <alignment/>
    </xf>
    <xf numFmtId="164" fontId="0" fillId="0" borderId="6" xfId="0" applyFont="1" applyBorder="1" applyAlignment="1">
      <alignment/>
    </xf>
    <xf numFmtId="164" fontId="0" fillId="0" borderId="8" xfId="0" applyBorder="1" applyAlignment="1">
      <alignment/>
    </xf>
    <xf numFmtId="164" fontId="0" fillId="0" borderId="4" xfId="0" applyFont="1" applyBorder="1" applyAlignment="1">
      <alignment wrapText="1"/>
    </xf>
    <xf numFmtId="166" fontId="0" fillId="0" borderId="0" xfId="0" applyNumberFormat="1" applyFont="1" applyAlignment="1">
      <alignment wrapText="1"/>
    </xf>
    <xf numFmtId="164" fontId="8" fillId="0" borderId="4" xfId="0" applyFont="1" applyBorder="1" applyAlignment="1">
      <alignment/>
    </xf>
    <xf numFmtId="164" fontId="0" fillId="0" borderId="4" xfId="0" applyFont="1" applyFill="1" applyBorder="1" applyAlignment="1">
      <alignment/>
    </xf>
    <xf numFmtId="166" fontId="0" fillId="0" borderId="0" xfId="0" applyNumberFormat="1" applyFill="1" applyAlignment="1">
      <alignment/>
    </xf>
    <xf numFmtId="166" fontId="0" fillId="0" borderId="5" xfId="0" applyNumberFormat="1" applyFill="1" applyBorder="1" applyAlignment="1">
      <alignment/>
    </xf>
    <xf numFmtId="170" fontId="0" fillId="0" borderId="0" xfId="0" applyNumberFormat="1" applyAlignment="1">
      <alignment/>
    </xf>
    <xf numFmtId="166" fontId="1" fillId="0" borderId="10" xfId="0" applyNumberFormat="1" applyFont="1" applyBorder="1" applyAlignment="1">
      <alignment/>
    </xf>
    <xf numFmtId="164" fontId="0" fillId="3" borderId="4" xfId="0" applyFont="1" applyFill="1" applyBorder="1" applyAlignment="1">
      <alignment/>
    </xf>
    <xf numFmtId="164" fontId="0" fillId="3" borderId="0" xfId="0" applyFill="1" applyBorder="1" applyAlignment="1">
      <alignment/>
    </xf>
    <xf numFmtId="164" fontId="0" fillId="3" borderId="0" xfId="0" applyFill="1" applyAlignment="1">
      <alignment/>
    </xf>
    <xf numFmtId="164" fontId="0" fillId="0" borderId="7" xfId="0" applyBorder="1" applyAlignment="1">
      <alignment horizontal="center"/>
    </xf>
    <xf numFmtId="164" fontId="13" fillId="0" borderId="0" xfId="0" applyFont="1" applyAlignment="1">
      <alignment/>
    </xf>
    <xf numFmtId="164" fontId="0" fillId="3" borderId="7" xfId="0" applyFill="1" applyBorder="1" applyAlignment="1">
      <alignment/>
    </xf>
    <xf numFmtId="164" fontId="2" fillId="0" borderId="0" xfId="0" applyFont="1" applyBorder="1" applyAlignment="1">
      <alignment horizontal="right"/>
    </xf>
    <xf numFmtId="164" fontId="0" fillId="0" borderId="7" xfId="0" applyFill="1" applyBorder="1" applyAlignment="1">
      <alignment/>
    </xf>
    <xf numFmtId="171" fontId="0" fillId="0" borderId="0" xfId="0" applyNumberFormat="1" applyAlignment="1">
      <alignment/>
    </xf>
    <xf numFmtId="164" fontId="2" fillId="0" borderId="0" xfId="0" applyFont="1" applyBorder="1" applyAlignment="1">
      <alignment horizontal="center"/>
    </xf>
    <xf numFmtId="164" fontId="0" fillId="0" borderId="0" xfId="0" applyFont="1" applyBorder="1" applyAlignment="1">
      <alignment/>
    </xf>
    <xf numFmtId="164" fontId="2" fillId="0" borderId="12" xfId="0" applyFont="1" applyBorder="1" applyAlignment="1">
      <alignment horizontal="center"/>
    </xf>
    <xf numFmtId="164" fontId="0" fillId="0" borderId="12" xfId="0" applyBorder="1" applyAlignment="1">
      <alignment horizontal="left"/>
    </xf>
    <xf numFmtId="164" fontId="0" fillId="0" borderId="12" xfId="0" applyFont="1" applyBorder="1" applyAlignment="1">
      <alignment horizontal="center"/>
    </xf>
    <xf numFmtId="169" fontId="0" fillId="0" borderId="12" xfId="0" applyNumberFormat="1" applyFont="1" applyBorder="1" applyAlignment="1">
      <alignment horizontal="center"/>
    </xf>
    <xf numFmtId="164" fontId="0" fillId="0" borderId="12" xfId="0" applyFont="1" applyBorder="1" applyAlignment="1">
      <alignment/>
    </xf>
    <xf numFmtId="171" fontId="0" fillId="0" borderId="12" xfId="0" applyNumberFormat="1" applyBorder="1" applyAlignment="1">
      <alignment horizontal="center"/>
    </xf>
    <xf numFmtId="164" fontId="2" fillId="0" borderId="12" xfId="0" applyFont="1" applyBorder="1" applyAlignment="1">
      <alignment horizontal="center"/>
    </xf>
    <xf numFmtId="164" fontId="0" fillId="0" borderId="12" xfId="0" applyFont="1" applyBorder="1" applyAlignment="1">
      <alignment/>
    </xf>
    <xf numFmtId="164" fontId="16" fillId="0" borderId="12" xfId="0" applyFont="1" applyBorder="1" applyAlignment="1">
      <alignment/>
    </xf>
    <xf numFmtId="164" fontId="0" fillId="0" borderId="0" xfId="0" applyFont="1" applyAlignment="1">
      <alignment/>
    </xf>
    <xf numFmtId="164" fontId="16" fillId="0" borderId="0" xfId="0" applyFont="1" applyAlignment="1">
      <alignment/>
    </xf>
    <xf numFmtId="164" fontId="1" fillId="0" borderId="0" xfId="0" applyFont="1" applyBorder="1" applyAlignment="1">
      <alignment horizontal="center"/>
    </xf>
    <xf numFmtId="164" fontId="1" fillId="0" borderId="12" xfId="0" applyFont="1" applyBorder="1" applyAlignment="1">
      <alignment horizontal="center"/>
    </xf>
    <xf numFmtId="164" fontId="2" fillId="0" borderId="1" xfId="0" applyFont="1" applyBorder="1" applyAlignment="1">
      <alignment/>
    </xf>
    <xf numFmtId="164" fontId="2" fillId="0" borderId="3" xfId="0" applyFont="1" applyBorder="1" applyAlignment="1">
      <alignment/>
    </xf>
    <xf numFmtId="164" fontId="0" fillId="0" borderId="5" xfId="0" applyBorder="1" applyAlignment="1">
      <alignment/>
    </xf>
    <xf numFmtId="164" fontId="0" fillId="0" borderId="4" xfId="0" applyFont="1" applyBorder="1" applyAlignment="1">
      <alignment horizontal="center"/>
    </xf>
    <xf numFmtId="164" fontId="0" fillId="0" borderId="0" xfId="0" applyFont="1" applyBorder="1" applyAlignment="1">
      <alignment horizontal="center"/>
    </xf>
    <xf numFmtId="164" fontId="0" fillId="0" borderId="5" xfId="0" applyFont="1" applyBorder="1" applyAlignment="1">
      <alignment horizontal="center"/>
    </xf>
    <xf numFmtId="166" fontId="0" fillId="0" borderId="0" xfId="0" applyNumberFormat="1" applyAlignment="1">
      <alignment horizontal="center"/>
    </xf>
    <xf numFmtId="166" fontId="0" fillId="0" borderId="5" xfId="0" applyNumberFormat="1" applyFont="1" applyBorder="1" applyAlignment="1">
      <alignment horizontal="center"/>
    </xf>
    <xf numFmtId="164" fontId="2" fillId="0" borderId="5" xfId="0" applyFont="1" applyBorder="1" applyAlignment="1">
      <alignment/>
    </xf>
    <xf numFmtId="164" fontId="0" fillId="0" borderId="6" xfId="0" applyFont="1" applyBorder="1" applyAlignment="1">
      <alignment horizontal="center"/>
    </xf>
    <xf numFmtId="166" fontId="17" fillId="0" borderId="8" xfId="0" applyNumberFormat="1" applyFont="1" applyBorder="1" applyAlignment="1">
      <alignment horizontal="center"/>
    </xf>
    <xf numFmtId="164" fontId="11" fillId="0" borderId="0" xfId="0" applyFont="1" applyBorder="1" applyAlignment="1">
      <alignment horizontal="center"/>
    </xf>
    <xf numFmtId="164" fontId="2" fillId="0" borderId="6" xfId="0" applyFont="1" applyBorder="1" applyAlignment="1">
      <alignment/>
    </xf>
    <xf numFmtId="166" fontId="2" fillId="0" borderId="8" xfId="0" applyNumberFormat="1" applyFont="1" applyBorder="1" applyAlignment="1">
      <alignment/>
    </xf>
    <xf numFmtId="164" fontId="0" fillId="0" borderId="1" xfId="0" applyFont="1" applyBorder="1" applyAlignment="1">
      <alignment horizontal="center"/>
    </xf>
    <xf numFmtId="164" fontId="0" fillId="0" borderId="2" xfId="0" applyFont="1" applyBorder="1" applyAlignment="1">
      <alignment horizontal="center"/>
    </xf>
    <xf numFmtId="166" fontId="0" fillId="0" borderId="3" xfId="0" applyNumberFormat="1" applyFont="1" applyBorder="1" applyAlignment="1">
      <alignment horizontal="center"/>
    </xf>
    <xf numFmtId="164" fontId="0" fillId="0" borderId="0" xfId="0" applyFont="1" applyBorder="1" applyAlignment="1">
      <alignment horizontal="center"/>
    </xf>
    <xf numFmtId="164" fontId="0" fillId="0" borderId="0" xfId="0" applyFont="1" applyAlignment="1">
      <alignment horizontal="center"/>
    </xf>
    <xf numFmtId="166" fontId="0" fillId="0" borderId="0" xfId="0" applyNumberFormat="1" applyFont="1" applyAlignment="1">
      <alignment horizontal="center"/>
    </xf>
    <xf numFmtId="166" fontId="0" fillId="0" borderId="5" xfId="0" applyNumberFormat="1" applyFont="1" applyBorder="1" applyAlignment="1">
      <alignment horizontal="center"/>
    </xf>
    <xf numFmtId="166" fontId="17" fillId="0" borderId="8" xfId="0" applyNumberFormat="1" applyFont="1" applyBorder="1" applyAlignment="1">
      <alignment horizontal="center"/>
    </xf>
    <xf numFmtId="164" fontId="2" fillId="4" borderId="11" xfId="0" applyFont="1" applyFill="1" applyBorder="1" applyAlignment="1">
      <alignment horizontal="center"/>
    </xf>
    <xf numFmtId="164" fontId="0" fillId="4" borderId="4" xfId="0" applyFont="1" applyFill="1" applyBorder="1" applyAlignment="1">
      <alignment horizontal="center"/>
    </xf>
    <xf numFmtId="164" fontId="0" fillId="4" borderId="0" xfId="0" applyFont="1" applyFill="1" applyBorder="1" applyAlignment="1">
      <alignment horizontal="center"/>
    </xf>
    <xf numFmtId="164" fontId="0" fillId="4" borderId="0" xfId="0" applyFont="1" applyFill="1" applyAlignment="1">
      <alignment horizontal="center"/>
    </xf>
    <xf numFmtId="164" fontId="0" fillId="4" borderId="5" xfId="0" applyFont="1" applyFill="1" applyBorder="1" applyAlignment="1">
      <alignment horizontal="center"/>
    </xf>
    <xf numFmtId="166" fontId="0" fillId="4" borderId="0" xfId="0" applyNumberFormat="1" applyFill="1" applyAlignment="1">
      <alignment horizontal="center"/>
    </xf>
    <xf numFmtId="166" fontId="0" fillId="4" borderId="5" xfId="0" applyNumberFormat="1" applyFont="1" applyFill="1" applyBorder="1" applyAlignment="1">
      <alignment horizontal="center"/>
    </xf>
    <xf numFmtId="164" fontId="0" fillId="4" borderId="0" xfId="0" applyFont="1" applyFill="1" applyBorder="1" applyAlignment="1">
      <alignment horizontal="center"/>
    </xf>
    <xf numFmtId="166" fontId="0" fillId="4" borderId="0" xfId="0" applyNumberFormat="1" applyFont="1" applyFill="1" applyBorder="1" applyAlignment="1">
      <alignment horizontal="center"/>
    </xf>
    <xf numFmtId="166" fontId="17" fillId="4" borderId="5" xfId="0" applyNumberFormat="1" applyFont="1" applyFill="1" applyBorder="1" applyAlignment="1">
      <alignment horizontal="center"/>
    </xf>
    <xf numFmtId="166" fontId="17" fillId="4" borderId="5" xfId="0" applyNumberFormat="1" applyFont="1" applyFill="1" applyBorder="1" applyAlignment="1">
      <alignment horizontal="center"/>
    </xf>
    <xf numFmtId="166" fontId="17" fillId="0" borderId="5" xfId="0" applyNumberFormat="1" applyFont="1" applyBorder="1" applyAlignment="1">
      <alignment horizontal="center"/>
    </xf>
    <xf numFmtId="164" fontId="0" fillId="0" borderId="4" xfId="0" applyFont="1" applyFill="1" applyBorder="1" applyAlignment="1">
      <alignment horizontal="center"/>
    </xf>
    <xf numFmtId="164" fontId="0" fillId="0" borderId="0" xfId="0" applyFont="1" applyFill="1" applyBorder="1" applyAlignment="1">
      <alignment horizontal="center"/>
    </xf>
    <xf numFmtId="164" fontId="0" fillId="0" borderId="0" xfId="0" applyFill="1" applyAlignment="1">
      <alignment horizontal="center"/>
    </xf>
    <xf numFmtId="166" fontId="0" fillId="0" borderId="0" xfId="0" applyNumberFormat="1" applyFill="1" applyAlignment="1">
      <alignment horizontal="center"/>
    </xf>
    <xf numFmtId="166" fontId="0" fillId="0" borderId="5" xfId="0" applyNumberFormat="1" applyFont="1" applyFill="1" applyBorder="1" applyAlignment="1">
      <alignment horizontal="center"/>
    </xf>
    <xf numFmtId="164" fontId="10" fillId="0" borderId="6" xfId="0" applyFont="1" applyBorder="1" applyAlignment="1">
      <alignment horizontal="center"/>
    </xf>
    <xf numFmtId="166" fontId="19" fillId="0" borderId="8" xfId="0" applyNumberFormat="1" applyFont="1" applyBorder="1" applyAlignment="1">
      <alignment horizontal="center"/>
    </xf>
    <xf numFmtId="164" fontId="0" fillId="0" borderId="3" xfId="0" applyFont="1" applyBorder="1" applyAlignment="1">
      <alignment horizontal="center"/>
    </xf>
    <xf numFmtId="164" fontId="20" fillId="0" borderId="0" xfId="0" applyFont="1" applyAlignment="1">
      <alignment horizontal="center"/>
    </xf>
    <xf numFmtId="164" fontId="20" fillId="0" borderId="0" xfId="0" applyFont="1" applyBorder="1" applyAlignment="1">
      <alignment horizontal="center"/>
    </xf>
    <xf numFmtId="164" fontId="10" fillId="0" borderId="4" xfId="0" applyFont="1" applyBorder="1" applyAlignment="1">
      <alignment horizontal="center"/>
    </xf>
    <xf numFmtId="164" fontId="10" fillId="0" borderId="0" xfId="0" applyNumberFormat="1" applyFont="1" applyBorder="1" applyAlignment="1">
      <alignment horizontal="center"/>
    </xf>
    <xf numFmtId="166" fontId="10" fillId="0" borderId="0" xfId="0" applyNumberFormat="1" applyFont="1" applyBorder="1" applyAlignment="1">
      <alignment horizontal="center"/>
    </xf>
    <xf numFmtId="166" fontId="10" fillId="0" borderId="5" xfId="0" applyNumberFormat="1" applyFont="1" applyBorder="1" applyAlignment="1">
      <alignment horizontal="center"/>
    </xf>
    <xf numFmtId="164" fontId="0" fillId="0" borderId="0" xfId="0" applyFont="1" applyAlignment="1">
      <alignment horizontal="center"/>
    </xf>
    <xf numFmtId="164" fontId="10" fillId="0" borderId="0" xfId="0" applyFont="1" applyBorder="1" applyAlignment="1">
      <alignment horizontal="center"/>
    </xf>
    <xf numFmtId="164" fontId="10" fillId="0" borderId="0" xfId="0" applyFont="1" applyAlignment="1">
      <alignment horizontal="center"/>
    </xf>
    <xf numFmtId="166" fontId="10" fillId="0" borderId="0" xfId="0" applyNumberFormat="1" applyFont="1" applyAlignment="1">
      <alignment horizontal="center"/>
    </xf>
    <xf numFmtId="164" fontId="10" fillId="0" borderId="4" xfId="0" applyFont="1" applyBorder="1" applyAlignment="1">
      <alignment horizontal="left"/>
    </xf>
    <xf numFmtId="164" fontId="10" fillId="0" borderId="4" xfId="0" applyFont="1" applyFill="1" applyBorder="1" applyAlignment="1">
      <alignment horizontal="center"/>
    </xf>
    <xf numFmtId="164" fontId="0" fillId="0" borderId="0" xfId="0" applyFont="1" applyFill="1" applyAlignment="1">
      <alignment horizontal="center"/>
    </xf>
    <xf numFmtId="164" fontId="0" fillId="0" borderId="0" xfId="0" applyFill="1" applyBorder="1" applyAlignment="1">
      <alignment horizontal="center"/>
    </xf>
    <xf numFmtId="166" fontId="0" fillId="0" borderId="0" xfId="0" applyNumberFormat="1" applyFill="1" applyBorder="1" applyAlignment="1">
      <alignment horizontal="center"/>
    </xf>
    <xf numFmtId="166" fontId="10" fillId="0" borderId="5" xfId="0" applyNumberFormat="1" applyFont="1" applyFill="1" applyBorder="1" applyAlignment="1">
      <alignment horizontal="center"/>
    </xf>
    <xf numFmtId="164" fontId="0" fillId="0" borderId="5" xfId="0" applyFont="1" applyFill="1" applyBorder="1" applyAlignment="1">
      <alignment horizontal="center"/>
    </xf>
    <xf numFmtId="164" fontId="0" fillId="0" borderId="0" xfId="0" applyFill="1" applyAlignment="1">
      <alignment/>
    </xf>
    <xf numFmtId="164" fontId="10" fillId="0" borderId="4" xfId="0" applyFont="1" applyFill="1" applyBorder="1" applyAlignment="1">
      <alignment horizontal="left"/>
    </xf>
    <xf numFmtId="164" fontId="10" fillId="0" borderId="0" xfId="0" applyFont="1" applyFill="1" applyBorder="1" applyAlignment="1">
      <alignment horizontal="center"/>
    </xf>
    <xf numFmtId="166" fontId="10" fillId="0" borderId="0" xfId="0" applyNumberFormat="1" applyFont="1" applyFill="1" applyAlignment="1">
      <alignment horizontal="center"/>
    </xf>
    <xf numFmtId="166" fontId="10" fillId="0" borderId="5" xfId="0" applyNumberFormat="1" applyFont="1" applyFill="1" applyBorder="1" applyAlignment="1">
      <alignment horizontal="right"/>
    </xf>
    <xf numFmtId="164" fontId="2" fillId="0" borderId="9" xfId="0" applyFont="1" applyBorder="1" applyAlignment="1">
      <alignment horizontal="center"/>
    </xf>
    <xf numFmtId="164" fontId="2" fillId="0" borderId="10" xfId="0" applyFont="1" applyBorder="1" applyAlignment="1">
      <alignment horizontal="center"/>
    </xf>
    <xf numFmtId="166" fontId="2" fillId="0" borderId="13" xfId="0" applyNumberFormat="1" applyFont="1" applyBorder="1" applyAlignment="1">
      <alignment horizontal="center"/>
    </xf>
    <xf numFmtId="164" fontId="21" fillId="0" borderId="0" xfId="0" applyFont="1" applyBorder="1" applyAlignment="1">
      <alignment horizontal="center"/>
    </xf>
    <xf numFmtId="164" fontId="9" fillId="0" borderId="0" xfId="0" applyFont="1" applyBorder="1" applyAlignment="1">
      <alignment/>
    </xf>
    <xf numFmtId="166" fontId="0" fillId="0" borderId="5" xfId="0" applyNumberFormat="1" applyBorder="1" applyAlignment="1">
      <alignment horizontal="center"/>
    </xf>
    <xf numFmtId="166" fontId="2" fillId="0" borderId="8" xfId="0" applyNumberFormat="1" applyFont="1" applyBorder="1" applyAlignment="1">
      <alignment horizontal="center"/>
    </xf>
    <xf numFmtId="164" fontId="17" fillId="0" borderId="4" xfId="0" applyFont="1" applyBorder="1" applyAlignment="1">
      <alignment horizontal="right"/>
    </xf>
    <xf numFmtId="166" fontId="2" fillId="0" borderId="0" xfId="0" applyNumberFormat="1" applyFont="1" applyBorder="1" applyAlignment="1">
      <alignment horizontal="center"/>
    </xf>
    <xf numFmtId="166" fontId="0" fillId="0" borderId="0" xfId="0" applyNumberFormat="1" applyFont="1" applyAlignment="1">
      <alignment horizontal="center"/>
    </xf>
    <xf numFmtId="166" fontId="0" fillId="0" borderId="0" xfId="0" applyNumberFormat="1" applyFont="1" applyBorder="1" applyAlignment="1">
      <alignment horizontal="center"/>
    </xf>
    <xf numFmtId="164" fontId="2" fillId="0" borderId="11" xfId="0" applyFont="1" applyFill="1" applyBorder="1" applyAlignment="1">
      <alignment horizontal="center"/>
    </xf>
    <xf numFmtId="164" fontId="16" fillId="0" borderId="4" xfId="0" applyFont="1" applyFill="1" applyBorder="1" applyAlignment="1">
      <alignment/>
    </xf>
    <xf numFmtId="164" fontId="16" fillId="0" borderId="0" xfId="0" applyFont="1" applyFill="1" applyAlignment="1">
      <alignment/>
    </xf>
    <xf numFmtId="172" fontId="0" fillId="0" borderId="0" xfId="0" applyNumberFormat="1" applyFill="1" applyAlignment="1">
      <alignment horizontal="center"/>
    </xf>
    <xf numFmtId="172" fontId="0" fillId="0" borderId="5" xfId="0" applyNumberFormat="1" applyFill="1" applyBorder="1" applyAlignment="1">
      <alignment horizontal="center"/>
    </xf>
    <xf numFmtId="164" fontId="16" fillId="4" borderId="4" xfId="0" applyFont="1" applyFill="1" applyBorder="1" applyAlignment="1">
      <alignment/>
    </xf>
    <xf numFmtId="164" fontId="16" fillId="4" borderId="0" xfId="0" applyFont="1" applyFill="1" applyAlignment="1">
      <alignment/>
    </xf>
    <xf numFmtId="164" fontId="0" fillId="4" borderId="0" xfId="0" applyFill="1" applyAlignment="1">
      <alignment horizontal="center"/>
    </xf>
    <xf numFmtId="172" fontId="0" fillId="4" borderId="0" xfId="0" applyNumberFormat="1" applyFill="1" applyAlignment="1">
      <alignment horizontal="center"/>
    </xf>
    <xf numFmtId="172" fontId="0" fillId="4" borderId="5" xfId="0" applyNumberFormat="1" applyFill="1" applyBorder="1" applyAlignment="1">
      <alignment horizontal="center"/>
    </xf>
    <xf numFmtId="164" fontId="0" fillId="0" borderId="4" xfId="0" applyFill="1" applyBorder="1" applyAlignment="1">
      <alignment/>
    </xf>
    <xf numFmtId="164" fontId="17" fillId="0" borderId="6" xfId="0" applyFont="1" applyBorder="1" applyAlignment="1">
      <alignment horizontal="right"/>
    </xf>
    <xf numFmtId="164" fontId="0" fillId="4" borderId="0" xfId="0" applyFill="1" applyAlignment="1">
      <alignment/>
    </xf>
    <xf numFmtId="172" fontId="0" fillId="4" borderId="0" xfId="0" applyNumberFormat="1" applyFill="1" applyAlignment="1">
      <alignment/>
    </xf>
    <xf numFmtId="172" fontId="0" fillId="4" borderId="5" xfId="0" applyNumberFormat="1" applyFill="1" applyBorder="1" applyAlignment="1">
      <alignment/>
    </xf>
    <xf numFmtId="164" fontId="0" fillId="0" borderId="5" xfId="0" applyFill="1" applyBorder="1" applyAlignment="1">
      <alignment/>
    </xf>
    <xf numFmtId="164" fontId="17" fillId="0" borderId="6" xfId="0" applyFont="1" applyFill="1" applyBorder="1" applyAlignment="1">
      <alignment horizontal="right"/>
    </xf>
    <xf numFmtId="166" fontId="17" fillId="0" borderId="8" xfId="0" applyNumberFormat="1" applyFont="1" applyFill="1" applyBorder="1" applyAlignment="1">
      <alignment horizontal="center"/>
    </xf>
    <xf numFmtId="164" fontId="0" fillId="0" borderId="1" xfId="0" applyFont="1" applyBorder="1" applyAlignment="1">
      <alignment horizontal="center"/>
    </xf>
    <xf numFmtId="164" fontId="0" fillId="0" borderId="2" xfId="0" applyFont="1" applyBorder="1" applyAlignment="1">
      <alignment horizontal="center"/>
    </xf>
    <xf numFmtId="164" fontId="0" fillId="0" borderId="3" xfId="0" applyFont="1" applyBorder="1" applyAlignment="1">
      <alignment horizontal="center"/>
    </xf>
    <xf numFmtId="164" fontId="0" fillId="0" borderId="4" xfId="0" applyFont="1" applyFill="1" applyBorder="1" applyAlignment="1">
      <alignment/>
    </xf>
    <xf numFmtId="164" fontId="0" fillId="0" borderId="0" xfId="0" applyFont="1" applyFill="1" applyAlignment="1">
      <alignment/>
    </xf>
    <xf numFmtId="164" fontId="0" fillId="0" borderId="0" xfId="0" applyFont="1" applyFill="1" applyAlignment="1">
      <alignment horizontal="center"/>
    </xf>
    <xf numFmtId="166" fontId="0" fillId="0" borderId="0" xfId="0" applyNumberFormat="1" applyFont="1" applyFill="1" applyAlignment="1">
      <alignment horizontal="center"/>
    </xf>
    <xf numFmtId="166" fontId="0" fillId="0" borderId="5" xfId="0" applyNumberFormat="1"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Border="1" applyAlignment="1">
      <alignment/>
    </xf>
    <xf numFmtId="166" fontId="0" fillId="0" borderId="0" xfId="0" applyNumberFormat="1" applyFont="1" applyFill="1" applyBorder="1" applyAlignment="1">
      <alignment horizontal="center"/>
    </xf>
    <xf numFmtId="172" fontId="0" fillId="0" borderId="0" xfId="0" applyNumberFormat="1" applyAlignment="1">
      <alignment/>
    </xf>
    <xf numFmtId="164" fontId="0" fillId="0" borderId="1" xfId="0" applyFont="1" applyFill="1" applyBorder="1" applyAlignment="1">
      <alignment horizontal="center"/>
    </xf>
    <xf numFmtId="164" fontId="0" fillId="0" borderId="2" xfId="0" applyFont="1" applyFill="1" applyBorder="1" applyAlignment="1">
      <alignment horizontal="center"/>
    </xf>
    <xf numFmtId="166" fontId="0" fillId="0" borderId="3" xfId="0" applyNumberFormat="1" applyFont="1" applyFill="1" applyBorder="1" applyAlignment="1">
      <alignment horizontal="center"/>
    </xf>
    <xf numFmtId="166" fontId="0" fillId="0" borderId="5" xfId="0" applyNumberFormat="1" applyFill="1" applyBorder="1" applyAlignment="1">
      <alignment horizontal="center"/>
    </xf>
    <xf numFmtId="164" fontId="0" fillId="4" borderId="4" xfId="0" applyFont="1" applyFill="1" applyBorder="1" applyAlignment="1">
      <alignment/>
    </xf>
    <xf numFmtId="166" fontId="0" fillId="4" borderId="5" xfId="0" applyNumberFormat="1" applyFill="1" applyBorder="1" applyAlignment="1">
      <alignment horizontal="center"/>
    </xf>
    <xf numFmtId="164" fontId="0" fillId="4" borderId="0" xfId="0" applyFont="1" applyFill="1" applyAlignment="1">
      <alignment/>
    </xf>
    <xf numFmtId="164" fontId="2" fillId="0" borderId="12" xfId="0" applyFont="1" applyFill="1" applyBorder="1" applyAlignment="1">
      <alignment horizontal="center"/>
    </xf>
    <xf numFmtId="164" fontId="0" fillId="0" borderId="4" xfId="0" applyFont="1" applyFill="1" applyBorder="1" applyAlignment="1">
      <alignment horizontal="left"/>
    </xf>
    <xf numFmtId="164" fontId="17" fillId="0" borderId="9" xfId="0" applyFont="1" applyFill="1" applyBorder="1" applyAlignment="1">
      <alignment horizontal="right"/>
    </xf>
    <xf numFmtId="164" fontId="17" fillId="0" borderId="10" xfId="0" applyFont="1" applyFill="1" applyBorder="1" applyAlignment="1">
      <alignment horizontal="right"/>
    </xf>
    <xf numFmtId="166" fontId="17" fillId="0" borderId="13" xfId="0" applyNumberFormat="1" applyFont="1" applyFill="1" applyBorder="1" applyAlignment="1">
      <alignment horizontal="center"/>
    </xf>
    <xf numFmtId="164" fontId="2" fillId="0" borderId="9" xfId="0" applyFont="1" applyBorder="1" applyAlignment="1">
      <alignment horizontal="right"/>
    </xf>
    <xf numFmtId="166" fontId="2" fillId="0" borderId="13" xfId="0" applyNumberFormat="1" applyFont="1" applyBorder="1" applyAlignment="1">
      <alignment/>
    </xf>
    <xf numFmtId="164" fontId="1" fillId="0" borderId="11" xfId="0" applyFont="1" applyBorder="1" applyAlignment="1">
      <alignment horizontal="center"/>
    </xf>
    <xf numFmtId="164" fontId="2" fillId="0" borderId="0" xfId="0" applyFont="1" applyBorder="1" applyAlignment="1">
      <alignment horizontal="center" wrapText="1"/>
    </xf>
    <xf numFmtId="164" fontId="2" fillId="0" borderId="12" xfId="0" applyFont="1" applyBorder="1" applyAlignment="1">
      <alignment horizontal="center" wrapText="1"/>
    </xf>
    <xf numFmtId="164" fontId="0" fillId="0" borderId="12" xfId="0" applyBorder="1" applyAlignment="1">
      <alignment/>
    </xf>
    <xf numFmtId="164" fontId="11" fillId="0" borderId="4" xfId="0" applyFont="1" applyBorder="1" applyAlignment="1">
      <alignment horizontal="center"/>
    </xf>
    <xf numFmtId="164" fontId="11" fillId="0" borderId="0" xfId="0" applyFont="1" applyAlignment="1">
      <alignment horizontal="center"/>
    </xf>
    <xf numFmtId="164" fontId="2" fillId="0" borderId="12" xfId="0" applyFont="1" applyBorder="1" applyAlignment="1">
      <alignment/>
    </xf>
    <xf numFmtId="164" fontId="0" fillId="0" borderId="4" xfId="0" applyBorder="1" applyAlignment="1">
      <alignment horizontal="center"/>
    </xf>
    <xf numFmtId="164" fontId="0" fillId="0" borderId="6" xfId="0" applyBorder="1" applyAlignment="1">
      <alignment/>
    </xf>
    <xf numFmtId="164" fontId="0" fillId="0" borderId="12" xfId="0" applyBorder="1" applyAlignment="1">
      <alignment horizontal="center"/>
    </xf>
    <xf numFmtId="164" fontId="22" fillId="0" borderId="12" xfId="0" applyFont="1" applyBorder="1" applyAlignment="1">
      <alignment horizontal="center"/>
    </xf>
    <xf numFmtId="164" fontId="10" fillId="0" borderId="12" xfId="0" applyFont="1" applyBorder="1" applyAlignment="1">
      <alignment horizontal="center"/>
    </xf>
    <xf numFmtId="166" fontId="0" fillId="0" borderId="0" xfId="0" applyNumberFormat="1" applyFont="1" applyFill="1" applyBorder="1" applyAlignment="1">
      <alignment horizontal="center"/>
    </xf>
    <xf numFmtId="166" fontId="0" fillId="0" borderId="0" xfId="0" applyNumberFormat="1" applyFont="1" applyFill="1" applyAlignment="1">
      <alignment horizontal="center"/>
    </xf>
    <xf numFmtId="164" fontId="2" fillId="0" borderId="0" xfId="0" applyFont="1" applyFill="1" applyBorder="1" applyAlignment="1">
      <alignment horizontal="center"/>
    </xf>
    <xf numFmtId="164" fontId="17" fillId="0" borderId="0" xfId="0" applyFont="1" applyFill="1" applyBorder="1" applyAlignment="1">
      <alignment horizontal="right"/>
    </xf>
    <xf numFmtId="166" fontId="17" fillId="0" borderId="0" xfId="0" applyNumberFormat="1" applyFont="1" applyFill="1" applyBorder="1" applyAlignment="1">
      <alignment horizontal="center"/>
    </xf>
    <xf numFmtId="166" fontId="2" fillId="0" borderId="10" xfId="0" applyNumberFormat="1" applyFont="1" applyBorder="1" applyAlignment="1">
      <alignment horizontal="center"/>
    </xf>
    <xf numFmtId="172" fontId="0" fillId="0" borderId="0" xfId="0" applyNumberFormat="1" applyAlignment="1">
      <alignment horizontal="center"/>
    </xf>
    <xf numFmtId="164" fontId="0" fillId="0" borderId="7" xfId="0" applyFont="1" applyBorder="1" applyAlignment="1">
      <alignment horizontal="center"/>
    </xf>
    <xf numFmtId="164" fontId="0" fillId="0" borderId="8" xfId="0" applyFont="1" applyBorder="1" applyAlignment="1">
      <alignment horizontal="center"/>
    </xf>
    <xf numFmtId="166" fontId="17" fillId="0" borderId="0" xfId="0" applyNumberFormat="1" applyFont="1" applyBorder="1" applyAlignment="1">
      <alignment horizontal="center"/>
    </xf>
    <xf numFmtId="164" fontId="11" fillId="0" borderId="4" xfId="0" applyFont="1" applyBorder="1" applyAlignment="1">
      <alignment horizontal="left"/>
    </xf>
    <xf numFmtId="166" fontId="11" fillId="0" borderId="0" xfId="0" applyNumberFormat="1" applyFont="1" applyAlignment="1">
      <alignment horizontal="center"/>
    </xf>
    <xf numFmtId="166" fontId="11" fillId="0" borderId="5" xfId="0" applyNumberFormat="1" applyFont="1" applyBorder="1" applyAlignment="1">
      <alignment horizontal="center"/>
    </xf>
    <xf numFmtId="164" fontId="2" fillId="0" borderId="12" xfId="0" applyFont="1" applyBorder="1" applyAlignment="1">
      <alignment horizontal="right"/>
    </xf>
    <xf numFmtId="164" fontId="16" fillId="0" borderId="5" xfId="0" applyFont="1" applyBorder="1" applyAlignment="1">
      <alignment/>
    </xf>
    <xf numFmtId="172" fontId="0" fillId="0" borderId="5" xfId="0" applyNumberFormat="1" applyFont="1" applyBorder="1" applyAlignment="1">
      <alignment horizontal="center"/>
    </xf>
    <xf numFmtId="164" fontId="0" fillId="0" borderId="12" xfId="0" applyNumberFormat="1" applyBorder="1" applyAlignment="1">
      <alignment/>
    </xf>
    <xf numFmtId="164" fontId="0" fillId="0" borderId="5" xfId="0" applyBorder="1" applyAlignment="1">
      <alignment horizontal="center"/>
    </xf>
    <xf numFmtId="164" fontId="10" fillId="0" borderId="4" xfId="21" applyFont="1" applyBorder="1">
      <alignment/>
      <protection/>
    </xf>
    <xf numFmtId="164" fontId="10" fillId="0" borderId="0" xfId="21" applyFont="1">
      <alignment/>
      <protection/>
    </xf>
    <xf numFmtId="164" fontId="23" fillId="0" borderId="0" xfId="21" applyFont="1" applyAlignment="1">
      <alignment horizontal="center"/>
      <protection/>
    </xf>
    <xf numFmtId="164" fontId="16" fillId="0" borderId="7" xfId="0" applyFont="1" applyBorder="1" applyAlignment="1">
      <alignment/>
    </xf>
    <xf numFmtId="164" fontId="16" fillId="0" borderId="8" xfId="0" applyFont="1" applyBorder="1" applyAlignment="1">
      <alignment/>
    </xf>
    <xf numFmtId="172" fontId="0" fillId="0" borderId="0" xfId="0" applyNumberFormat="1" applyFont="1" applyAlignment="1">
      <alignment/>
    </xf>
    <xf numFmtId="164" fontId="23" fillId="0" borderId="12" xfId="21" applyFont="1" applyBorder="1">
      <alignment/>
      <protection/>
    </xf>
    <xf numFmtId="164" fontId="24" fillId="0" borderId="12" xfId="21" applyFont="1" applyBorder="1">
      <alignment/>
      <protection/>
    </xf>
    <xf numFmtId="173" fontId="23" fillId="0" borderId="12" xfId="21" applyNumberFormat="1" applyBorder="1">
      <alignment/>
      <protection/>
    </xf>
    <xf numFmtId="164" fontId="25" fillId="0" borderId="12" xfId="20" applyNumberFormat="1" applyFont="1" applyFill="1" applyBorder="1" applyAlignment="1" applyProtection="1">
      <alignment/>
      <protection/>
    </xf>
    <xf numFmtId="164" fontId="23" fillId="0" borderId="0" xfId="21" applyFont="1">
      <alignment/>
      <protection/>
    </xf>
    <xf numFmtId="164" fontId="25" fillId="0" borderId="0" xfId="20" applyNumberFormat="1" applyFont="1" applyFill="1" applyBorder="1" applyAlignment="1" applyProtection="1">
      <alignment/>
      <protection/>
    </xf>
    <xf numFmtId="174" fontId="23" fillId="0" borderId="0" xfId="21" applyNumberFormat="1" applyFont="1">
      <alignment/>
      <protection/>
    </xf>
    <xf numFmtId="164" fontId="24" fillId="0" borderId="0" xfId="21" applyFont="1">
      <alignment/>
      <protection/>
    </xf>
    <xf numFmtId="164" fontId="2" fillId="0" borderId="6" xfId="0" applyFont="1" applyBorder="1" applyAlignment="1">
      <alignment horizontal="center"/>
    </xf>
    <xf numFmtId="164" fontId="2" fillId="0" borderId="7" xfId="0" applyFont="1" applyBorder="1" applyAlignment="1">
      <alignment horizontal="center"/>
    </xf>
    <xf numFmtId="166" fontId="0" fillId="0" borderId="5" xfId="0" applyNumberFormat="1" applyFont="1" applyBorder="1" applyAlignment="1">
      <alignment/>
    </xf>
    <xf numFmtId="164" fontId="2" fillId="0" borderId="12" xfId="0" applyFont="1" applyBorder="1" applyAlignment="1">
      <alignment horizontal="left"/>
    </xf>
    <xf numFmtId="164" fontId="2" fillId="0" borderId="12" xfId="0" applyFont="1" applyBorder="1" applyAlignment="1">
      <alignment wrapText="1"/>
    </xf>
    <xf numFmtId="164" fontId="17" fillId="0" borderId="12" xfId="0" applyFont="1" applyBorder="1" applyAlignment="1">
      <alignment horizontal="center"/>
    </xf>
    <xf numFmtId="175" fontId="0" fillId="0" borderId="12" xfId="0" applyNumberFormat="1" applyFont="1" applyBorder="1" applyAlignment="1">
      <alignment horizontal="center"/>
    </xf>
    <xf numFmtId="164" fontId="0" fillId="0" borderId="11" xfId="0" applyFont="1" applyBorder="1" applyAlignment="1">
      <alignment/>
    </xf>
    <xf numFmtId="164" fontId="0" fillId="0" borderId="14" xfId="0" applyFont="1" applyBorder="1" applyAlignment="1">
      <alignment/>
    </xf>
    <xf numFmtId="164" fontId="0" fillId="0" borderId="15" xfId="0" applyFont="1" applyBorder="1" applyAlignment="1">
      <alignment/>
    </xf>
    <xf numFmtId="169" fontId="0" fillId="0" borderId="0" xfId="0" applyNumberFormat="1" applyAlignment="1">
      <alignment/>
    </xf>
    <xf numFmtId="164" fontId="1" fillId="0" borderId="12" xfId="0" applyFont="1" applyBorder="1" applyAlignment="1">
      <alignment/>
    </xf>
    <xf numFmtId="164" fontId="0" fillId="0" borderId="0" xfId="0" applyNumberFormat="1" applyBorder="1" applyAlignment="1">
      <alignment/>
    </xf>
    <xf numFmtId="166" fontId="0" fillId="0" borderId="0" xfId="0" applyNumberFormat="1" applyBorder="1" applyAlignment="1">
      <alignment/>
    </xf>
    <xf numFmtId="166" fontId="2" fillId="0" borderId="0" xfId="0" applyNumberFormat="1" applyFont="1" applyBorder="1" applyAlignment="1">
      <alignment/>
    </xf>
    <xf numFmtId="175" fontId="0" fillId="0" borderId="12" xfId="0" applyNumberFormat="1" applyBorder="1" applyAlignment="1">
      <alignment horizontal="center"/>
    </xf>
    <xf numFmtId="164" fontId="0" fillId="0" borderId="0" xfId="0" applyFont="1" applyAlignment="1">
      <alignment horizontal="left"/>
    </xf>
    <xf numFmtId="164" fontId="26" fillId="0" borderId="0" xfId="0" applyFont="1" applyBorder="1" applyAlignment="1">
      <alignment horizontal="center"/>
    </xf>
    <xf numFmtId="170" fontId="10" fillId="0" borderId="0" xfId="0" applyNumberFormat="1" applyFont="1" applyAlignment="1">
      <alignment/>
    </xf>
    <xf numFmtId="164" fontId="0" fillId="5" borderId="4" xfId="0" applyFont="1" applyFill="1" applyBorder="1" applyAlignment="1">
      <alignment horizontal="left"/>
    </xf>
    <xf numFmtId="164" fontId="0" fillId="5" borderId="0" xfId="0" applyFont="1" applyFill="1" applyBorder="1" applyAlignment="1">
      <alignment horizontal="center"/>
    </xf>
    <xf numFmtId="164" fontId="0" fillId="5" borderId="0" xfId="0" applyFill="1" applyAlignment="1">
      <alignment horizontal="center"/>
    </xf>
    <xf numFmtId="166" fontId="0" fillId="5" borderId="5" xfId="0" applyNumberFormat="1" applyFont="1" applyFill="1" applyBorder="1" applyAlignment="1">
      <alignment horizontal="center"/>
    </xf>
    <xf numFmtId="164" fontId="9" fillId="0" borderId="0" xfId="0" applyFont="1" applyAlignment="1">
      <alignment/>
    </xf>
    <xf numFmtId="164" fontId="2" fillId="0" borderId="5" xfId="0" applyFont="1" applyBorder="1" applyAlignment="1">
      <alignment horizontal="center"/>
    </xf>
    <xf numFmtId="164" fontId="0" fillId="0" borderId="4" xfId="0" applyFont="1" applyBorder="1" applyAlignment="1">
      <alignment wrapText="1"/>
    </xf>
    <xf numFmtId="164" fontId="27" fillId="0" borderId="0" xfId="0" applyFont="1" applyBorder="1" applyAlignment="1">
      <alignment wrapText="1"/>
    </xf>
    <xf numFmtId="164" fontId="27" fillId="0" borderId="0" xfId="0" applyFont="1" applyAlignment="1">
      <alignment horizontal="center" wrapText="1"/>
    </xf>
    <xf numFmtId="164" fontId="4" fillId="0" borderId="0" xfId="0" applyFont="1" applyAlignment="1">
      <alignment horizontal="center" wrapText="1"/>
    </xf>
    <xf numFmtId="164" fontId="27" fillId="0" borderId="0" xfId="0" applyFont="1" applyBorder="1" applyAlignment="1">
      <alignment horizontal="center" wrapText="1"/>
    </xf>
    <xf numFmtId="171" fontId="0" fillId="0" borderId="0" xfId="0" applyNumberFormat="1" applyFont="1" applyBorder="1" applyAlignment="1">
      <alignment horizontal="center"/>
    </xf>
    <xf numFmtId="164" fontId="4" fillId="0" borderId="0" xfId="0" applyFont="1" applyBorder="1" applyAlignment="1">
      <alignment horizontal="center" wrapText="1"/>
    </xf>
    <xf numFmtId="171" fontId="4" fillId="0" borderId="0" xfId="0" applyNumberFormat="1" applyFont="1" applyAlignment="1">
      <alignment horizontal="center" wrapText="1"/>
    </xf>
    <xf numFmtId="164" fontId="27" fillId="0" borderId="0" xfId="0" applyFont="1" applyFill="1" applyBorder="1" applyAlignment="1">
      <alignment horizontal="center" wrapText="1"/>
    </xf>
    <xf numFmtId="164" fontId="27" fillId="0" borderId="0" xfId="0" applyFont="1" applyFill="1" applyAlignment="1">
      <alignment horizontal="center" wrapText="1"/>
    </xf>
    <xf numFmtId="164" fontId="4" fillId="0" borderId="0" xfId="0" applyFont="1" applyFill="1" applyAlignment="1">
      <alignment horizontal="center" wrapText="1"/>
    </xf>
    <xf numFmtId="164" fontId="4" fillId="0" borderId="0" xfId="0" applyFont="1" applyFill="1" applyBorder="1" applyAlignment="1">
      <alignment horizontal="center" wrapText="1"/>
    </xf>
    <xf numFmtId="164" fontId="0" fillId="0" borderId="0" xfId="0" applyFont="1" applyFill="1" applyAlignment="1">
      <alignment/>
    </xf>
    <xf numFmtId="164" fontId="27" fillId="0" borderId="7" xfId="0" applyFont="1" applyFill="1" applyBorder="1" applyAlignment="1">
      <alignment horizontal="center" wrapText="1"/>
    </xf>
    <xf numFmtId="164" fontId="0" fillId="0" borderId="7" xfId="0" applyFont="1" applyFill="1" applyBorder="1" applyAlignment="1">
      <alignment/>
    </xf>
    <xf numFmtId="164" fontId="4" fillId="0" borderId="7" xfId="0" applyFont="1" applyFill="1" applyBorder="1" applyAlignment="1">
      <alignment horizontal="center" wrapText="1"/>
    </xf>
    <xf numFmtId="164" fontId="0" fillId="0" borderId="7" xfId="0" applyFont="1" applyFill="1" applyBorder="1" applyAlignment="1">
      <alignment horizontal="center"/>
    </xf>
    <xf numFmtId="164" fontId="2" fillId="0" borderId="8" xfId="0" applyFont="1" applyBorder="1" applyAlignment="1">
      <alignment horizontal="center"/>
    </xf>
    <xf numFmtId="164" fontId="0" fillId="0" borderId="0" xfId="0" applyFont="1" applyFill="1" applyBorder="1" applyAlignment="1">
      <alignment/>
    </xf>
    <xf numFmtId="164" fontId="0" fillId="0" borderId="1" xfId="0" applyBorder="1" applyAlignment="1">
      <alignment/>
    </xf>
    <xf numFmtId="164" fontId="0" fillId="0" borderId="9" xfId="0" applyFont="1" applyBorder="1" applyAlignment="1">
      <alignment/>
    </xf>
    <xf numFmtId="164" fontId="0" fillId="0" borderId="10" xfId="0" applyBorder="1" applyAlignment="1">
      <alignment/>
    </xf>
    <xf numFmtId="164" fontId="0" fillId="0" borderId="13" xfId="0" applyFont="1" applyBorder="1" applyAlignment="1">
      <alignment/>
    </xf>
    <xf numFmtId="171" fontId="0" fillId="0" borderId="0" xfId="0" applyNumberFormat="1" applyBorder="1" applyAlignment="1">
      <alignment/>
    </xf>
    <xf numFmtId="164" fontId="2" fillId="0" borderId="2" xfId="0" applyFont="1" applyBorder="1" applyAlignment="1">
      <alignment horizontal="center"/>
    </xf>
    <xf numFmtId="164" fontId="0" fillId="0" borderId="2" xfId="0" applyFont="1" applyBorder="1" applyAlignment="1">
      <alignment/>
    </xf>
    <xf numFmtId="164" fontId="0" fillId="0" borderId="3" xfId="0" applyFont="1" applyBorder="1" applyAlignment="1">
      <alignment/>
    </xf>
    <xf numFmtId="164" fontId="2" fillId="0" borderId="3" xfId="0" applyFont="1" applyBorder="1" applyAlignment="1">
      <alignment horizontal="center"/>
    </xf>
    <xf numFmtId="164" fontId="28" fillId="0" borderId="12" xfId="0" applyFont="1" applyBorder="1" applyAlignment="1">
      <alignment horizontal="left" wrapText="1"/>
    </xf>
    <xf numFmtId="164" fontId="28" fillId="0" borderId="0" xfId="0" applyFont="1" applyAlignment="1">
      <alignment/>
    </xf>
    <xf numFmtId="164" fontId="29" fillId="0" borderId="0" xfId="0" applyFont="1" applyAlignment="1">
      <alignment/>
    </xf>
    <xf numFmtId="164" fontId="3" fillId="0" borderId="12" xfId="0" applyFont="1" applyBorder="1" applyAlignment="1">
      <alignment horizontal="center" wrapText="1"/>
    </xf>
    <xf numFmtId="164" fontId="4" fillId="0" borderId="12" xfId="0" applyFont="1" applyBorder="1" applyAlignment="1">
      <alignment horizontal="left" wrapText="1"/>
    </xf>
    <xf numFmtId="164" fontId="35" fillId="0" borderId="0" xfId="0" applyFont="1" applyAlignment="1">
      <alignment/>
    </xf>
    <xf numFmtId="164" fontId="31" fillId="0" borderId="0" xfId="0" applyFont="1" applyAlignment="1">
      <alignment/>
    </xf>
    <xf numFmtId="164" fontId="1" fillId="0" borderId="0" xfId="0" applyFont="1" applyAlignment="1">
      <alignment horizontal="center" wrapText="1"/>
    </xf>
    <xf numFmtId="164" fontId="1" fillId="0" borderId="0" xfId="0" applyFont="1" applyAlignment="1">
      <alignment wrapText="1"/>
    </xf>
    <xf numFmtId="164" fontId="9" fillId="6" borderId="0" xfId="0" applyFont="1" applyFill="1" applyAlignment="1">
      <alignment/>
    </xf>
    <xf numFmtId="166" fontId="0" fillId="0" borderId="0" xfId="0" applyNumberFormat="1" applyFont="1" applyAlignment="1">
      <alignment/>
    </xf>
    <xf numFmtId="164" fontId="0" fillId="7" borderId="0" xfId="0" applyFont="1" applyFill="1" applyAlignment="1">
      <alignment/>
    </xf>
    <xf numFmtId="164" fontId="0" fillId="7" borderId="0" xfId="0" applyFill="1" applyAlignment="1">
      <alignment horizontal="center"/>
    </xf>
    <xf numFmtId="164" fontId="0" fillId="7" borderId="0" xfId="0" applyFont="1" applyFill="1" applyAlignment="1">
      <alignment horizontal="center"/>
    </xf>
    <xf numFmtId="166" fontId="0" fillId="7" borderId="0" xfId="0" applyNumberFormat="1" applyFill="1" applyAlignment="1">
      <alignment/>
    </xf>
    <xf numFmtId="172" fontId="0" fillId="7" borderId="0" xfId="0" applyNumberFormat="1" applyFont="1" applyFill="1" applyAlignment="1">
      <alignment horizontal="center"/>
    </xf>
    <xf numFmtId="172" fontId="0" fillId="7" borderId="0" xfId="0" applyNumberFormat="1" applyFont="1" applyFill="1" applyAlignment="1">
      <alignment/>
    </xf>
    <xf numFmtId="164" fontId="0" fillId="5" borderId="0" xfId="0" applyFont="1" applyFill="1" applyAlignment="1">
      <alignment/>
    </xf>
    <xf numFmtId="166" fontId="0" fillId="5" borderId="0" xfId="0" applyNumberFormat="1" applyFont="1" applyFill="1" applyAlignment="1">
      <alignment/>
    </xf>
    <xf numFmtId="172" fontId="0" fillId="5" borderId="0" xfId="0" applyNumberFormat="1" applyFill="1" applyAlignment="1">
      <alignment horizontal="center"/>
    </xf>
    <xf numFmtId="172" fontId="0" fillId="5" borderId="0" xfId="0" applyNumberFormat="1" applyFill="1" applyAlignment="1">
      <alignment/>
    </xf>
    <xf numFmtId="166" fontId="0" fillId="0" borderId="0" xfId="0" applyNumberFormat="1" applyFont="1" applyAlignment="1">
      <alignment horizontal="left"/>
    </xf>
    <xf numFmtId="164" fontId="0" fillId="0" borderId="0" xfId="0" applyNumberFormat="1" applyFont="1" applyAlignment="1">
      <alignment horizontal="left"/>
    </xf>
    <xf numFmtId="166" fontId="23" fillId="0" borderId="0" xfId="21" applyNumberFormat="1" applyFont="1">
      <alignment/>
      <protection/>
    </xf>
    <xf numFmtId="164" fontId="10" fillId="0" borderId="0" xfId="0" applyFont="1" applyAlignment="1">
      <alignment/>
    </xf>
    <xf numFmtId="166" fontId="0" fillId="0" borderId="0" xfId="0" applyNumberFormat="1" applyAlignment="1">
      <alignment horizontal="left"/>
    </xf>
    <xf numFmtId="164" fontId="9" fillId="0" borderId="0" xfId="0" applyFont="1" applyAlignment="1">
      <alignment horizontal="left"/>
    </xf>
    <xf numFmtId="164" fontId="36" fillId="0" borderId="12" xfId="0" applyFont="1" applyBorder="1" applyAlignment="1">
      <alignment horizontal="center"/>
    </xf>
    <xf numFmtId="164" fontId="1" fillId="0" borderId="12" xfId="0" applyFont="1" applyBorder="1" applyAlignment="1">
      <alignment horizontal="left"/>
    </xf>
    <xf numFmtId="164" fontId="0" fillId="0" borderId="12" xfId="0" applyFont="1" applyBorder="1" applyAlignment="1">
      <alignment horizontal="left"/>
    </xf>
    <xf numFmtId="165" fontId="0" fillId="0" borderId="12" xfId="0" applyNumberFormat="1" applyBorder="1" applyAlignment="1">
      <alignment horizontal="right"/>
    </xf>
    <xf numFmtId="165" fontId="0" fillId="0" borderId="12" xfId="0" applyNumberFormat="1" applyFont="1" applyBorder="1" applyAlignment="1">
      <alignment horizontal="right"/>
    </xf>
    <xf numFmtId="170" fontId="0" fillId="0" borderId="12" xfId="0" applyNumberFormat="1" applyFont="1" applyBorder="1" applyAlignment="1">
      <alignment horizontal="center"/>
    </xf>
    <xf numFmtId="164" fontId="10" fillId="0" borderId="12" xfId="0" applyFont="1" applyBorder="1" applyAlignment="1">
      <alignment horizontal="left"/>
    </xf>
    <xf numFmtId="165" fontId="10" fillId="0" borderId="12" xfId="0" applyNumberFormat="1" applyFont="1" applyBorder="1" applyAlignment="1">
      <alignment horizontal="right"/>
    </xf>
    <xf numFmtId="164" fontId="0" fillId="0" borderId="12" xfId="0" applyFont="1" applyFill="1" applyBorder="1" applyAlignment="1">
      <alignment horizontal="left"/>
    </xf>
    <xf numFmtId="165" fontId="1" fillId="0" borderId="12" xfId="0" applyNumberFormat="1" applyFont="1" applyBorder="1" applyAlignment="1">
      <alignment horizontal="right"/>
    </xf>
    <xf numFmtId="170" fontId="1" fillId="0" borderId="12" xfId="0" applyNumberFormat="1" applyFont="1" applyBorder="1" applyAlignment="1">
      <alignment horizontal="center"/>
    </xf>
    <xf numFmtId="165" fontId="0" fillId="0" borderId="0" xfId="0" applyNumberFormat="1" applyAlignment="1">
      <alignment/>
    </xf>
    <xf numFmtId="165" fontId="1" fillId="0" borderId="12" xfId="0" applyNumberFormat="1" applyFont="1" applyBorder="1" applyAlignment="1">
      <alignment/>
    </xf>
    <xf numFmtId="164" fontId="2" fillId="0" borderId="16" xfId="0" applyFont="1" applyBorder="1" applyAlignment="1">
      <alignment horizontal="center"/>
    </xf>
    <xf numFmtId="168" fontId="0" fillId="0" borderId="0" xfId="0" applyNumberFormat="1" applyAlignment="1">
      <alignment/>
    </xf>
    <xf numFmtId="176" fontId="0" fillId="0" borderId="0" xfId="0" applyNumberFormat="1" applyAlignment="1">
      <alignment horizontal="center"/>
    </xf>
    <xf numFmtId="176" fontId="1" fillId="0" borderId="0" xfId="0" applyNumberFormat="1" applyFont="1" applyAlignment="1">
      <alignment horizontal="center"/>
    </xf>
    <xf numFmtId="166" fontId="1" fillId="0" borderId="0" xfId="0" applyNumberFormat="1" applyFont="1" applyAlignment="1">
      <alignment/>
    </xf>
    <xf numFmtId="176" fontId="0" fillId="0" borderId="0" xfId="0" applyNumberFormat="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7826"/>
      <rgbColor rgb="00000080"/>
      <rgbColor rgb="00808000"/>
      <rgbColor rgb="00800080"/>
      <rgbColor rgb="00008080"/>
      <rgbColor rgb="00B3B3B3"/>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969696"/>
      <rgbColor rgb="00003366"/>
      <rgbColor rgb="00579D1C"/>
      <rgbColor rgb="00003300"/>
      <rgbColor rgb="00314004"/>
      <rgbColor rgb="00FF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Exterior Walls</a:t>
            </a:r>
          </a:p>
        </c:rich>
      </c:tx>
      <c:layout/>
      <c:spPr>
        <a:noFill/>
        <a:ln>
          <a:noFill/>
        </a:ln>
      </c:spPr>
    </c:title>
    <c:plotArea>
      <c:layout>
        <c:manualLayout>
          <c:xMode val="edge"/>
          <c:yMode val="edge"/>
          <c:x val="0.26625"/>
          <c:y val="0.34325"/>
          <c:w val="0.6285"/>
          <c:h val="0.54875"/>
        </c:manualLayout>
      </c:layout>
      <c:scatterChart>
        <c:scatterStyle val="lineMarker"/>
        <c:varyColors val="0"/>
        <c:ser>
          <c:idx val="0"/>
          <c:order val="0"/>
          <c:tx>
            <c:strRef>
              <c:f>Dimensions_Calcs!$B$4:$B$4</c:f>
            </c:strRef>
          </c:tx>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AECF00"/>
                </a:solidFill>
              </a:ln>
            </c:spPr>
          </c:marker>
          <c:xVal>
            <c:numRef>
              <c:f>Dimensions_Calcs!$D$3:$D$4</c:f>
              <c:numCache/>
            </c:numRef>
          </c:xVal>
          <c:yVal>
            <c:numRef>
              <c:f>Dimensions_Calcs!$E$3:$E$4</c:f>
              <c:numCache/>
            </c:numRef>
          </c:yVal>
          <c:smooth val="0"/>
        </c:ser>
        <c:ser>
          <c:idx val="1"/>
          <c:order val="1"/>
          <c:tx>
            <c:strRef>
              <c:f>Dimensions_Calcs!$B$5:$B$5</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420E"/>
              </a:solidFill>
              <a:ln>
                <a:solidFill>
                  <a:srgbClr val="FF420E"/>
                </a:solidFill>
              </a:ln>
            </c:spPr>
          </c:marker>
          <c:xVal>
            <c:numRef>
              <c:f>Dimensions_Calcs!$D$4:$D$5</c:f>
              <c:numCache/>
            </c:numRef>
          </c:xVal>
          <c:yVal>
            <c:numRef>
              <c:f>Dimensions_Calcs!$E$4:$E$5</c:f>
              <c:numCache/>
            </c:numRef>
          </c:yVal>
          <c:smooth val="0"/>
        </c:ser>
        <c:ser>
          <c:idx val="2"/>
          <c:order val="2"/>
          <c:tx>
            <c:strRef>
              <c:f>Dimensions_Calcs!$B$6:$B$6</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xVal>
            <c:numRef>
              <c:f>Dimensions_Calcs!$D$5:$D$6</c:f>
              <c:numCache/>
            </c:numRef>
          </c:xVal>
          <c:yVal>
            <c:numRef>
              <c:f>Dimensions_Calcs!$E$5:$E$6</c:f>
              <c:numCache/>
            </c:numRef>
          </c:yVal>
          <c:smooth val="0"/>
        </c:ser>
        <c:ser>
          <c:idx val="3"/>
          <c:order val="3"/>
          <c:tx>
            <c:strRef>
              <c:f>Dimensions_Calcs!$B$7:$B$7</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xVal>
            <c:numRef>
              <c:f>Dimensions_Calcs!$D$6:$D$7</c:f>
              <c:numCache/>
            </c:numRef>
          </c:xVal>
          <c:yVal>
            <c:numRef>
              <c:f>Dimensions_Calcs!$E$6:$E$7</c:f>
              <c:numCache/>
            </c:numRef>
          </c:yVal>
          <c:smooth val="0"/>
        </c:ser>
        <c:ser>
          <c:idx val="4"/>
          <c:order val="4"/>
          <c:tx>
            <c:strRef>
              <c:f>Dimensions_Calcs!$B$8:$B$8</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xVal>
            <c:numRef>
              <c:f>Dimensions_Calcs!$D$7:$D$8</c:f>
              <c:numCache/>
            </c:numRef>
          </c:xVal>
          <c:yVal>
            <c:numRef>
              <c:f>Dimensions_Calcs!$E$7:$E$8</c:f>
              <c:numCache/>
            </c:numRef>
          </c:yVal>
          <c:smooth val="0"/>
        </c:ser>
        <c:ser>
          <c:idx val="5"/>
          <c:order val="5"/>
          <c:tx>
            <c:strRef>
              <c:f>Dimensions_Calcs!$B$9:$B$9</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7E0021"/>
              </a:solidFill>
              <a:ln>
                <a:solidFill>
                  <a:srgbClr val="7E0021"/>
                </a:solidFill>
              </a:ln>
            </c:spPr>
          </c:marker>
          <c:xVal>
            <c:numRef>
              <c:f>Dimensions_Calcs!$D$8:$D$9</c:f>
              <c:numCache/>
            </c:numRef>
          </c:xVal>
          <c:yVal>
            <c:numRef>
              <c:f>Dimensions_Calcs!$E$8:$E$9</c:f>
              <c:numCache/>
            </c:numRef>
          </c:yVal>
          <c:smooth val="0"/>
        </c:ser>
        <c:ser>
          <c:idx val="6"/>
          <c:order val="6"/>
          <c:tx>
            <c:strRef>
              <c:f>Dimensions_Calcs!$B$10:$B$10</c:f>
            </c:strRef>
          </c:tx>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83CAFF"/>
                </a:solidFill>
              </a:ln>
            </c:spPr>
          </c:marker>
          <c:xVal>
            <c:numRef>
              <c:f>Dimensions_Calcs!$D$9:$D$10</c:f>
              <c:numCache/>
            </c:numRef>
          </c:xVal>
          <c:yVal>
            <c:numRef>
              <c:f>Dimensions_Calcs!$E$9:$E$10</c:f>
              <c:numCache/>
            </c:numRef>
          </c:yVal>
          <c:smooth val="0"/>
        </c:ser>
        <c:ser>
          <c:idx val="7"/>
          <c:order val="7"/>
          <c:tx>
            <c:strRef>
              <c:f>Dimensions_Calcs!$B$11:$B$11</c:f>
            </c:strRef>
          </c:tx>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14004"/>
                </a:solidFill>
              </a:ln>
            </c:spPr>
          </c:marker>
          <c:xVal>
            <c:numRef>
              <c:f>Dimensions_Calcs!$D$10:$D$11</c:f>
              <c:numCache/>
            </c:numRef>
          </c:xVal>
          <c:yVal>
            <c:numRef>
              <c:f>Dimensions_Calcs!$E$10:$E$11</c:f>
              <c:numCache/>
            </c:numRef>
          </c:yVal>
          <c:smooth val="0"/>
        </c:ser>
        <c:axId val="21388377"/>
        <c:axId val="58277666"/>
      </c:scatterChart>
      <c:valAx>
        <c:axId val="2138837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277666"/>
        <c:crossesAt val="0"/>
        <c:crossBetween val="midCat"/>
        <c:dispUnits/>
      </c:valAx>
      <c:valAx>
        <c:axId val="58277666"/>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388377"/>
        <c:crossesAt val="0"/>
        <c:crossBetween val="midCat"/>
        <c:dispUnits/>
      </c:valAx>
      <c:spPr>
        <a:noFill/>
        <a:ln w="3175">
          <a:solidFill>
            <a:srgbClr val="B3B3B3"/>
          </a:solidFill>
        </a:ln>
      </c:spPr>
    </c:plotArea>
    <c:legend>
      <c:legendPos val="r"/>
      <c:layout>
        <c:manualLayout>
          <c:xMode val="edge"/>
          <c:yMode val="edge"/>
          <c:x val="0.75175"/>
          <c:y val="0.47525"/>
          <c:w val="0.04575"/>
          <c:h val="0.26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span"/>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5</xdr:row>
      <xdr:rowOff>19050</xdr:rowOff>
    </xdr:from>
    <xdr:to>
      <xdr:col>14</xdr:col>
      <xdr:colOff>295275</xdr:colOff>
      <xdr:row>33</xdr:row>
      <xdr:rowOff>95250</xdr:rowOff>
    </xdr:to>
    <xdr:graphicFrame>
      <xdr:nvGraphicFramePr>
        <xdr:cNvPr id="1" name="Chart 1"/>
        <xdr:cNvGraphicFramePr/>
      </xdr:nvGraphicFramePr>
      <xdr:xfrm>
        <a:off x="7972425" y="828675"/>
        <a:ext cx="8029575"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hyperlink" Target="https://www.darley.com/starterpaq"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chiltrix.com/documents/price-list.html#sthash.AR7G8kaA.dpuf" TargetMode="External" /><Relationship Id="rId2" Type="http://schemas.openxmlformats.org/officeDocument/2006/relationships/hyperlink" Target="http://www.chiltrix.com/documents/price-list.html#sthash.AR7G8kaA.dpuf"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www.homedepot.com/p/8-in-x-8-in-x-16-in-Concrete-Block-100825/202323962" TargetMode="External" /><Relationship Id="rId2" Type="http://schemas.openxmlformats.org/officeDocument/2006/relationships/hyperlink" Target="http://www.homedepot.com/p/6-in-x-8-in-x-16-in-Concrete-MW-Block-6816/3017552301" TargetMode="External" /><Relationship Id="rId3" Type="http://schemas.openxmlformats.org/officeDocument/2006/relationships/hyperlink" Target="http://phxbrickyard.com/" TargetMode="External" /><Relationship Id="rId4" Type="http://schemas.openxmlformats.org/officeDocument/2006/relationships/hyperlink" Target="http://www.homedepot.com/p/Simpson-Strong-Tie-22-Gauge-Brick-Tie-100-Pack-BT-R100/100375148" TargetMode="External" /><Relationship Id="rId5" Type="http://schemas.openxmlformats.org/officeDocument/2006/relationships/hyperlink" Target="http://www.homedepot.com/p/Construction-Metals-4-in-x-4-in-x-10-ft-Galvanized-Steel-L-Flashing-LF44G/202093207" TargetMode="External" /><Relationship Id="rId6" Type="http://schemas.openxmlformats.org/officeDocument/2006/relationships/hyperlink" Target="http://www.homedepot.com/p/Quikrete-70-lb-Type-S-Masonry-Cement-112571/100318458" TargetMode="External" /><Relationship Id="rId7" Type="http://schemas.openxmlformats.org/officeDocument/2006/relationships/hyperlink" Target="http://www.homedepot.com/p/1-2-in-x-20-ft-Rebar-REB-4-615G4-20/202532809" TargetMode="External" /><Relationship Id="rId8" Type="http://schemas.openxmlformats.org/officeDocument/2006/relationships/hyperlink" Target="http://www.homedepot.com/p/Grip-Rite-18-in-x-0-5-in-Hot-Galvanized-Anchor-Bolt-50-Pieces-per-Box-1218GAB50/100190687" TargetMode="External" /><Relationship Id="rId9" Type="http://schemas.openxmlformats.org/officeDocument/2006/relationships/hyperlink" Target="https://www.lowes.com/pd/Common-2-in-x-4-in-x-8-ft-Actual-1-5-in-x-3-5-in-x-8-ft-Stud/1000028847" TargetMode="External" /><Relationship Id="rId10" Type="http://schemas.openxmlformats.org/officeDocument/2006/relationships/hyperlink" Target="https://www.lowes.com/pd/Common-2-in-x-4-in-x-8-ft-Actual-1-5-in-x-3-5-in-x-8-ft-Stud/1000028847" TargetMode="External" /><Relationship Id="rId11" Type="http://schemas.openxmlformats.org/officeDocument/2006/relationships/hyperlink" Target="http://www.homedepot.com/p/2-in-x-6-in-x-10-ft-2-and-Better-Kiln-Dried-Douglas-Fir-Board-HCF-KDDF-PRIME-2x6x10/206804069" TargetMode="External" /><Relationship Id="rId12" Type="http://schemas.openxmlformats.org/officeDocument/2006/relationships/hyperlink" Target="http://www.hesterslogandlumber.com/rough-cut-lumber-pricesheet.html" TargetMode="External" /><Relationship Id="rId13" Type="http://schemas.openxmlformats.org/officeDocument/2006/relationships/hyperlink" Target="http://www.hesterslogandlumber.com/rough-cut-lumber-pricesheet.html" TargetMode="External" /><Relationship Id="rId14" Type="http://schemas.openxmlformats.org/officeDocument/2006/relationships/hyperlink" Target="http://www.hesterslogandlumber.com/rough-cut-lumber-pricesheet.html" TargetMode="External" /><Relationship Id="rId15" Type="http://schemas.openxmlformats.org/officeDocument/2006/relationships/hyperlink" Target="https://northlandwood.com/roughlumber/" TargetMode="External" /><Relationship Id="rId16" Type="http://schemas.openxmlformats.org/officeDocument/2006/relationships/hyperlink" Target="https://northlandwood.com/roughlumber/" TargetMode="External" /><Relationship Id="rId17" Type="http://schemas.openxmlformats.org/officeDocument/2006/relationships/hyperlink" Target="https://northlandwood.com/roughlumber/" TargetMode="External" /><Relationship Id="rId18" Type="http://schemas.openxmlformats.org/officeDocument/2006/relationships/hyperlink" Target="https://www.homedepot.com/p/2-in-x-6-in-x-16-ft-Construction-Common-Redwood-Board-436429/206075385" TargetMode="External" /><Relationship Id="rId19" Type="http://schemas.openxmlformats.org/officeDocument/2006/relationships/hyperlink" Target="http://www.homedepot.com/p/Pattern-Stock-Cedar-Tongue-and-Groove-Board-Common-1-in-x-6-in-x-12-ft-Actual-0-625-in-x-5-37-in-x-144-in-906909/100071949" TargetMode="External" /><Relationship Id="rId20" Type="http://schemas.openxmlformats.org/officeDocument/2006/relationships/hyperlink" Target="http://www.homedepot.com/p/1-4-in-x-3-5-in-14-sq-ft-Western-Cedar-Planks-6-Pack-8203015/202106509" TargetMode="External" /><Relationship Id="rId21" Type="http://schemas.openxmlformats.org/officeDocument/2006/relationships/hyperlink" Target="http://www.homedepot.com/p/1-4-in-x-3-3-4-in-x-48-in-100-Aromatic-Eastern-Red-Cedar-Planking-36422/205667315" TargetMode="External" /><Relationship Id="rId22" Type="http://schemas.openxmlformats.org/officeDocument/2006/relationships/hyperlink" Target="http://www.homedepot.com/p/15-32-in-x-4-ft-x-8-ft-3-Ply-RTD-Sheathing-166073/100067329" TargetMode="External" /><Relationship Id="rId23" Type="http://schemas.openxmlformats.org/officeDocument/2006/relationships/hyperlink" Target="http://www.homedepot.com/p/19-32-in-x-4-ft-x-8-ft-Rtd-Sheathing-Syp-166081/100004472" TargetMode="External" /><Relationship Id="rId24" Type="http://schemas.openxmlformats.org/officeDocument/2006/relationships/hyperlink" Target="http://www.homedepot.com/p/23-32-in-x-4-ft-x-8-ft-RTD-Sheathing-Syp-166103/100041308" TargetMode="External" /><Relationship Id="rId25" Type="http://schemas.openxmlformats.org/officeDocument/2006/relationships/hyperlink" Target="http://www.homedepot.com/p/7-16-in-x-48-in-x-8ft-Oriented-Strand-Board-386081/202106230" TargetMode="External" /><Relationship Id="rId26" Type="http://schemas.openxmlformats.org/officeDocument/2006/relationships/hyperlink" Target="https://northlandwood.com/joists_beams_lams/" TargetMode="External" /><Relationship Id="rId27" Type="http://schemas.openxmlformats.org/officeDocument/2006/relationships/hyperlink" Target="https://www.goodrichlumber.com/MainSite/Store1/StoreProducts/ProductDetail/1474" TargetMode="External" /><Relationship Id="rId28" Type="http://schemas.openxmlformats.org/officeDocument/2006/relationships/hyperlink" Target="http://www.northlandwood.com/lam.htm" TargetMode="External" /><Relationship Id="rId29" Type="http://schemas.openxmlformats.org/officeDocument/2006/relationships/hyperlink" Target="http://www.northlandwood.com/lam.htm" TargetMode="External" /><Relationship Id="rId30" Type="http://schemas.openxmlformats.org/officeDocument/2006/relationships/hyperlink" Target="http://www.northlandwood.com/lam.htm" TargetMode="External" /><Relationship Id="rId31" Type="http://schemas.openxmlformats.org/officeDocument/2006/relationships/hyperlink" Target="http://www.northlandwood.com/lam.htm" TargetMode="External" /><Relationship Id="rId32" Type="http://schemas.openxmlformats.org/officeDocument/2006/relationships/hyperlink" Target="http://www.northlandwood.com/lam.htm" TargetMode="External" /><Relationship Id="rId33" Type="http://schemas.openxmlformats.org/officeDocument/2006/relationships/hyperlink" Target="https://www.goodrichlumber.com/MainSite/Store1/StoreProducts/ProductDetail/5" TargetMode="External" /><Relationship Id="rId34" Type="http://schemas.openxmlformats.org/officeDocument/2006/relationships/hyperlink" Target="http://www.homedepot.com/p/Grip-Rite-3-1-4-in-x-0-131-Plastic-Bright-Vinyl-Coated-Steel-Smooth-Shank-Round-Framing-Nails-4-000-per-Box-GR024/100394345" TargetMode="External" /><Relationship Id="rId35" Type="http://schemas.openxmlformats.org/officeDocument/2006/relationships/hyperlink" Target="http://www.homedepot.com/p/Owens-Corning-R-30-Kraft-Faced-Insulation-Batts-24-in-x-48-in-BF71/202585885" TargetMode="External" /><Relationship Id="rId36" Type="http://schemas.openxmlformats.org/officeDocument/2006/relationships/hyperlink" Target="https://www.lowes.com/pd/Johns-Manville-R-38-48-sq-ft-Faced-Fiberglass-Batt-Insulation-with-Sound-Barrier-16-in-W-x-48-in-L/1000165241" TargetMode="External" /><Relationship Id="rId37" Type="http://schemas.openxmlformats.org/officeDocument/2006/relationships/hyperlink" Target="http://www.homedepot.com/p/Owens-Corning-R38-Insulation-Unfaced-Batts-24-in-x-48-in-8-Bags-BU81/205471557" TargetMode="External" /><Relationship Id="rId38" Type="http://schemas.openxmlformats.org/officeDocument/2006/relationships/hyperlink" Target="https://www.lowes.com/pd/Owens-Corning-R49-48-sq-ft-Faced-Fiberglass-Batt-Insulation-with-Sound-Barrier-24-in-W-x-48-in-L/1000085517" TargetMode="External" /><Relationship Id="rId39" Type="http://schemas.openxmlformats.org/officeDocument/2006/relationships/hyperlink" Target="http://www.homedepot.com/p/Owens-Corning-FOAMULAR-250-2-in-x-48-in-x-8-ft-R-10-Scored-Squared-Edge-Insulation-Sheathing-52DD/202085962" TargetMode="External" /><Relationship Id="rId40" Type="http://schemas.openxmlformats.org/officeDocument/2006/relationships/hyperlink" Target="http://www.homedepot.com/p/Thermasheath-Rmax-Thermasheath-3-2-in-x-4-ft-x-8-ft-R-13-1-Polyisocyanurate-Rigid-Foam-Insulation-Board-613010/100573703" TargetMode="External" /><Relationship Id="rId41" Type="http://schemas.openxmlformats.org/officeDocument/2006/relationships/hyperlink" Target="http://www.homedepot.com/p/Thermasheath-Rmax-Thermasheath-3-2-in-x-4-ft-x-8-ft-R-13-1-Polyisocyanurate-Rigid-Foam-Insulation-Board-613010/100573703" TargetMode="External" /><Relationship Id="rId42" Type="http://schemas.openxmlformats.org/officeDocument/2006/relationships/hyperlink" Target="https://crawlspacerepair.com/20-mil-vapor-barrier-for-crawl-space-encapsulation" TargetMode="External" /><Relationship Id="rId43" Type="http://schemas.openxmlformats.org/officeDocument/2006/relationships/hyperlink" Target="https://crawlspacerepair.com/waterproof-seam-tape-for-crawl-space-vapor-barrier" TargetMode="External" /><Relationship Id="rId44" Type="http://schemas.openxmlformats.org/officeDocument/2006/relationships/hyperlink" Target="https://crawlspacerepair.com/foundation-seal-tape-for-crawl-spaces" TargetMode="External" /><Relationship Id="rId45" Type="http://schemas.openxmlformats.org/officeDocument/2006/relationships/hyperlink" Target="http://www.rewci.com/crspve110cfm.html" TargetMode="External" /><Relationship Id="rId46" Type="http://schemas.openxmlformats.org/officeDocument/2006/relationships/hyperlink" Target="http://www.homedepot.com/p/Freeman-1-1-4-in-11-Gauge-Roofing-Nails-RN-125/203502962" TargetMode="External" /><Relationship Id="rId47" Type="http://schemas.openxmlformats.org/officeDocument/2006/relationships/hyperlink" Target="http://www.homedepot.com/p/SIMONTON-96-in-x-48-in-DaylightMax-Universal-Hand-End-Vent-Sliding-Vinyl-Window-White-DMEV-9648WHL2ARHS/204740938" TargetMode="External" /><Relationship Id="rId48" Type="http://schemas.openxmlformats.org/officeDocument/2006/relationships/hyperlink" Target="http://www.homedepot.com/p/JELD-WEN-59-5-in-x-47-5-in-V-4500-Series-Left-Hand-Sliding-Vinyl-Windows-White-THDJW140400125/205818294" TargetMode="External" /><Relationship Id="rId49" Type="http://schemas.openxmlformats.org/officeDocument/2006/relationships/hyperlink" Target="http://www.homedepot.com/p/JELD-WEN-47-5-in-x-47-5-in-V-4500-Series-Right-Hand-Sliding-Vinyl-Windows-White-THDJW140400105/205818292" TargetMode="External" /><Relationship Id="rId50" Type="http://schemas.openxmlformats.org/officeDocument/2006/relationships/hyperlink" Target="http://www.homedepot.com/p/JELD-WEN-47-5-in-x-23-5-in-V-4500-Series-Awning-Vinyl-Window-White-THDJW140000447/205720398" TargetMode="External" /><Relationship Id="rId51" Type="http://schemas.openxmlformats.org/officeDocument/2006/relationships/hyperlink" Target="http://www.homedepot.com/p/JELD-WEN-35-5-in-x-35-5-in-V-4500-Series-Fixed-Picture-Vinyl-Window-in-White-THDJW142100094/205807124" TargetMode="External" /><Relationship Id="rId52" Type="http://schemas.openxmlformats.org/officeDocument/2006/relationships/hyperlink" Target="http://www.homedepot.com/p/JELD-WEN-23-5-in-x-35-5-in-V-4500-Series-Single-Hung-Vinyl-Window-Yellow-THDJW143900135/205688339" TargetMode="External" /><Relationship Id="rId53" Type="http://schemas.openxmlformats.org/officeDocument/2006/relationships/hyperlink" Target="http://www.homedepot.com/p/JELD-WEN-35-5-in-x-47-5-in-V-4500-Series-Single-Hung-Vinyl-Window-White-THDJW143900085/205688305" TargetMode="External" /><Relationship Id="rId54" Type="http://schemas.openxmlformats.org/officeDocument/2006/relationships/hyperlink" Target="http://www.homedepot.com/p/Masonite-36-in-x-80-in-6-Panel-Left-Handed-Hollow-Core-Textured-Primed-Composite-Single-Prehung-Interior-Door-07450/100084672" TargetMode="External" /><Relationship Id="rId55" Type="http://schemas.openxmlformats.org/officeDocument/2006/relationships/hyperlink" Target="http://www.homedepot.com/p/JELD-WEN-36-in-x-80-in-6-Panel-Primed-20-Minute-Fire-Rated-Steel-Prehung-Left-Hand-Inswing-Front-Door-THDJW166100249/202036318" TargetMode="External" /><Relationship Id="rId56" Type="http://schemas.openxmlformats.org/officeDocument/2006/relationships/hyperlink" Target="http://www.homedepot.com/p/Builder-s-Choice-36-in-x-80-in-6-Panel-Left-Hand-Hemlock-Single-Prehung-Interior-Door-HD66S30L/100096329" TargetMode="External" /><Relationship Id="rId57" Type="http://schemas.openxmlformats.org/officeDocument/2006/relationships/hyperlink" Target="http://www.homedepot.com/p/Builder-s-Choice-36-in-x-80-in-6-Panel-Left-Hand-Hemlock-Single-Prehung-Interior-Door-HD66S30L/100096329" TargetMode="External" /><Relationship Id="rId58" Type="http://schemas.openxmlformats.org/officeDocument/2006/relationships/hyperlink" Target="http://www.homedepot.com/p/Builder-s-Choice-36-in-x-80-in-6-Panel-Left-Hand-Hemlock-Single-Prehung-Interior-Door-HD66S30L/100096329" TargetMode="External" /><Relationship Id="rId59" Type="http://schemas.openxmlformats.org/officeDocument/2006/relationships/hyperlink" Target="https://www.menards.com/main/doors-windows-millwork/exterior-doors/garage-doors/garage-doors/ideal-door-reg-4-star-10-x-14-white-commercial-insulated-garage-door/p-1444433860578-c-12358.htm?tid=-2555219637433344797&amp;ipos=2" TargetMode="External" /><Relationship Id="rId60" Type="http://schemas.openxmlformats.org/officeDocument/2006/relationships/hyperlink" Target="https://www.menards.com/main/doors-windows-millwork/exterior-doors/garage-doors/garage-doors/ideal-door-reg-3-star-12-x-14-white-commercial-insulated-garage-door/12x14c5ess4259420/p-1444433850569-c-12358.htm?tid=8590176457435048487&amp;ipos=7" TargetMode="External" /><Relationship Id="rId61" Type="http://schemas.openxmlformats.org/officeDocument/2006/relationships/hyperlink" Target="http://www.homedepot.com/p/Kwikset-Cove-Antique-Brass-Bed-Bath-Knob-300CV-5-RCAL-RCS/203274878" TargetMode="External" /><Relationship Id="rId62" Type="http://schemas.openxmlformats.org/officeDocument/2006/relationships/hyperlink" Target="http://www.homedepot.com/p/Kwikset-Juno-Satin-Nickel-Exterior-Entry-Knob-and-Single-Cylinder-Deadbolt-Combo-Pack-featuring-SmartKey-991J-15-SMT-CP/100597328" TargetMode="External" /><Relationship Id="rId63" Type="http://schemas.openxmlformats.org/officeDocument/2006/relationships/hyperlink" Target="http://www.homedepot.com/p/Heritage-Mill-Oak-Golden-3-4-in-Thick-x-4-in-Wide-x-Random-Length-Solid-Real-Hardwood-Flooring-21-sq-ft-case-PF9679/206021887" TargetMode="External" /><Relationship Id="rId64" Type="http://schemas.openxmlformats.org/officeDocument/2006/relationships/hyperlink" Target="https://www.homedepot.com/p/Blue-Ridge-Hardwood-Flooring-Oak-Honey-Wheat-3-4-in-Thick-x-2-1-4-in-Wide-x-Random-Length-Solid-Hardwood-Flooring-18-sq-ft-case-20476/206719811" TargetMode="External" /><Relationship Id="rId65" Type="http://schemas.openxmlformats.org/officeDocument/2006/relationships/hyperlink" Target="http://www.homedepot.com/p/Custom-Building-Products-VersaBond-Gray-50-lb-Fortified-Thin-Set-Mortar-MTSG50/100162542?MERCH=REC-_-NavPLPHorizontal1_rr-_-NA-_-100162542-_-N" TargetMode="External" /><Relationship Id="rId66" Type="http://schemas.openxmlformats.org/officeDocument/2006/relationships/hyperlink" Target="http://www.homedepot.com/p/Custom-Building-Products-Polyblend-548-Surf-Green-7-lb-Sanded-Grout-PBG5487-4/205939330" TargetMode="External" /><Relationship Id="rId67" Type="http://schemas.openxmlformats.org/officeDocument/2006/relationships/hyperlink" Target="https://www.lowes.com/pd/STAINMASTER-11-11-mm-Rebond-Carpet-Padding/50280767" TargetMode="External" /><Relationship Id="rId68" Type="http://schemas.openxmlformats.org/officeDocument/2006/relationships/hyperlink" Target="https://www.lowes.com/pd/Blue-Hawk-1-in-Blue-Tack-Strip/4755339" TargetMode="External" /><Relationship Id="rId69" Type="http://schemas.openxmlformats.org/officeDocument/2006/relationships/hyperlink" Target="http://www.homedepot.com/p/Woodgrain-Millwork-WM-623-9-16-in-x-3-1-4-in-x-96-in-Primed-Finger-Jointed-Base-Moulding-10000558/203209372" TargetMode="External" /><Relationship Id="rId70" Type="http://schemas.openxmlformats.org/officeDocument/2006/relationships/hyperlink" Target="http://www.homedepot.com/p/Simpson-Strong-Tie-1-3-4-in-x-11-7-8-in-Face-Mount-I-Joist-Hanger-IUS1-81-11-88/203302218?keyword=IUS1.81%2F11.88" TargetMode="External" /><Relationship Id="rId71" Type="http://schemas.openxmlformats.org/officeDocument/2006/relationships/hyperlink" Target="https://www.homedepot.com/p/Rheem-Performance-Platinum-9-5-GPM-Liquid-Propane-High-Efficiency-Indoor-Tankless-Water-Heater-ECOH200DVLP-1/206934438" TargetMode="External" /><Relationship Id="rId72" Type="http://schemas.openxmlformats.org/officeDocument/2006/relationships/hyperlink" Target="https://www.homedepot.com/p/MAREY-3-1-GPM-Liquid-Propane-Gas-Digital-Panel-Tankless-Water-Heater-GA10LPDP/204357327?MERCH=REC-_-rv_search_plp_rr-_-NA-_-204357327-_-N" TargetMode="External" /><Relationship Id="rId73" Type="http://schemas.openxmlformats.org/officeDocument/2006/relationships/hyperlink" Target="http://www.woodlanddirect.com/Fireplace-Accessories/Direct-Vent-Fireplaces/Empire-Deluxe-Tahoe-Direct-Vent-Gas-Fireplace-36" TargetMode="External" /><Relationship Id="rId74" Type="http://schemas.openxmlformats.org/officeDocument/2006/relationships/hyperlink" Target="http://www.homedepot.com/p/ISPRING-Dual-Flow-500-GPD-Commercial-Grade-Tankless-Under-Sink-Reverse-Osmosis-Water-Filtration-System-w-1-1-Filter-Drain-Ratio-RCS5T/2065044971" TargetMode="External" /><Relationship Id="rId75" Type="http://schemas.openxmlformats.org/officeDocument/2006/relationships/hyperlink" Target="https://www.homedepot.com/p/Panasonic-WhisperCeiling-110-CFM-Ceiling-Exhaust-Bath-Fan-ENERGY-STAR-FV-11VQ5/203762022" TargetMode="External" /><Relationship Id="rId76" Type="http://schemas.openxmlformats.org/officeDocument/2006/relationships/hyperlink" Target="https://www.amazon.com/Honeywell-VNT5200H1000-Heat-Recovery-Ventilator/dp/B00722UIHE/ref=sr_1_17?ie=UTF8&amp;qid=1521844215&amp;sr=8-17&amp;keywords=heat+recovery+ventilator" TargetMode="External" /><Relationship Id="rId77" Type="http://schemas.openxmlformats.org/officeDocument/2006/relationships/hyperlink" Target="https://www.lowes.com/pd/Charlotte-Pipe-4-in-x-10-ft-Solid-PVC-Sewer-Drain-Pipe/3133159" TargetMode="External" /><Relationship Id="rId78" Type="http://schemas.openxmlformats.org/officeDocument/2006/relationships/hyperlink" Target="https://www.homedepot.com/p/Siemens-400-Amp-4-Space-4-Circuit-Levery-Bypass-Meter-Main-Combination-with-and-Ringless-Cover-MM0404L1400RLM/302878820?MERCH=REC-_-PIPHorizontal2_rr-_-100140344-_-302878820-_-N" TargetMode="External" /><Relationship Id="rId79" Type="http://schemas.openxmlformats.org/officeDocument/2006/relationships/hyperlink" Target="https://www.homedepot.com/p/Siemens-ES-Series-200-Amp-40-Space-60-Circuit-Main-Breaker-Load-Center-with-60kA-FirstSurge-Device-Installed-S4060B1200S060/300077952" TargetMode="External" /><Relationship Id="rId80" Type="http://schemas.openxmlformats.org/officeDocument/2006/relationships/hyperlink" Target="https://www.homedepot.com/p/Siemens-15-Amp-Single-Pole-Circuit-Breaker-QAFH2-Combo-AFCI-QA115AFCH/302649396" TargetMode="External" /><Relationship Id="rId81" Type="http://schemas.openxmlformats.org/officeDocument/2006/relationships/hyperlink" Target="https://www.homedepot.com/p/Siemens-15-Amp-Single-Pole-Branch-Feeder-AFCI-Circuit-Breaker-US2-QA115AF/301395761" TargetMode="External" /><Relationship Id="rId82" Type="http://schemas.openxmlformats.org/officeDocument/2006/relationships/hyperlink" Target="https://www.homedepot.com/p/Siemens-20-Amp-Single-Pole-Circuit-Breaker-BAF2-Combo-AFCI-BA120AFC/302649398" TargetMode="External" /><Relationship Id="rId83" Type="http://schemas.openxmlformats.org/officeDocument/2006/relationships/hyperlink" Target="https://www.homedepot.com/b/Electrical-Power-Distribution-Circuit-Breakers-2-Pole-Breakers/Siemens/GFCI/20/N-5yc1vZbm1eZ1ddZ1z0mh9uZ1z0u3fe" TargetMode="External" /><Relationship Id="rId84" Type="http://schemas.openxmlformats.org/officeDocument/2006/relationships/hyperlink" Target="https://www.homedepot.com/p/Siemens-30-Amp-Double-Pole-Type-QPF2-GFCI-Circuit-Breaker-US2-QF230AP/206965318" TargetMode="External" /><Relationship Id="rId85" Type="http://schemas.openxmlformats.org/officeDocument/2006/relationships/hyperlink" Target="https://www.homedepot.com/p/Siemens-50-Amp-Double-Pole-Type-QE-Ground-Fault-Equipment-Protection-Circuit-Breaker-QE250/302469491" TargetMode="External" /><Relationship Id="rId86" Type="http://schemas.openxmlformats.org/officeDocument/2006/relationships/hyperlink" Target="https://www.homedepot.com/p/Siemens-200-Amp-2-Pole-10kA-Type-QN-Reverse-Handle-Main-Breaker-QN2200R/100072323" TargetMode="External" /><Relationship Id="rId87" Type="http://schemas.openxmlformats.org/officeDocument/2006/relationships/hyperlink" Target="http://shop.loomistank.com/product/0/LSI43503/_/SI_1250_SEPTIC_LP_2CP#.WmIeq66nGU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satube.com/design-your-own?id=169501"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www.menards.com/" TargetMode="External" /></Relationships>
</file>

<file path=xl/worksheets/sheet1.xml><?xml version="1.0" encoding="utf-8"?>
<worksheet xmlns="http://schemas.openxmlformats.org/spreadsheetml/2006/main" xmlns:r="http://schemas.openxmlformats.org/officeDocument/2006/relationships">
  <dimension ref="B1:V60"/>
  <sheetViews>
    <sheetView zoomScale="90" zoomScaleNormal="90" workbookViewId="0" topLeftCell="A1">
      <selection activeCell="B7" sqref="B7"/>
    </sheetView>
  </sheetViews>
  <sheetFormatPr defaultColWidth="12.57421875" defaultRowHeight="12.75"/>
  <cols>
    <col min="1" max="1" width="11.57421875" style="0" customWidth="1"/>
    <col min="2" max="2" width="26.421875" style="0" customWidth="1"/>
    <col min="3" max="6" width="11.57421875" style="0" customWidth="1"/>
    <col min="7" max="7" width="5.00390625" style="0" customWidth="1"/>
    <col min="8" max="11" width="11.57421875" style="0" customWidth="1"/>
    <col min="12" max="12" width="4.00390625" style="0" customWidth="1"/>
    <col min="13" max="13" width="36.00390625" style="0" customWidth="1"/>
    <col min="14" max="17" width="11.57421875" style="0" customWidth="1"/>
    <col min="18" max="18" width="4.28125" style="0" customWidth="1"/>
    <col min="19" max="20" width="11.57421875" style="0" customWidth="1"/>
    <col min="21" max="21" width="11.7109375" style="0" customWidth="1"/>
    <col min="22" max="22" width="16.57421875" style="0" customWidth="1"/>
    <col min="23" max="16384" width="11.57421875" style="0" customWidth="1"/>
  </cols>
  <sheetData>
    <row r="1" spans="2:22" ht="22.5" customHeight="1">
      <c r="B1" s="1" t="s">
        <v>0</v>
      </c>
      <c r="C1" s="1"/>
      <c r="D1" s="1"/>
      <c r="E1" s="1"/>
      <c r="F1" s="1"/>
      <c r="G1" s="2"/>
      <c r="H1" s="2"/>
      <c r="I1" s="2"/>
      <c r="J1" s="2"/>
      <c r="K1" s="3"/>
      <c r="M1" s="4" t="s">
        <v>1</v>
      </c>
      <c r="N1" s="4"/>
      <c r="O1" s="4"/>
      <c r="P1" s="4"/>
      <c r="Q1" s="4"/>
      <c r="R1" s="2"/>
      <c r="S1" s="2"/>
      <c r="T1" s="2"/>
      <c r="U1" s="2"/>
      <c r="V1" s="3"/>
    </row>
    <row r="2" spans="2:22" ht="12.75">
      <c r="B2" s="5" t="s">
        <v>2</v>
      </c>
      <c r="C2" s="6" t="s">
        <v>3</v>
      </c>
      <c r="D2" s="6" t="s">
        <v>4</v>
      </c>
      <c r="E2" s="6" t="s">
        <v>5</v>
      </c>
      <c r="F2" s="6" t="s">
        <v>6</v>
      </c>
      <c r="H2" t="s">
        <v>7</v>
      </c>
      <c r="I2" t="s">
        <v>8</v>
      </c>
      <c r="J2" t="s">
        <v>9</v>
      </c>
      <c r="K2" s="7" t="s">
        <v>10</v>
      </c>
      <c r="M2" s="8" t="s">
        <v>2</v>
      </c>
      <c r="N2" s="9" t="s">
        <v>3</v>
      </c>
      <c r="O2" s="9" t="s">
        <v>4</v>
      </c>
      <c r="P2" s="9" t="s">
        <v>5</v>
      </c>
      <c r="Q2" s="10" t="s">
        <v>6</v>
      </c>
      <c r="S2" t="s">
        <v>7</v>
      </c>
      <c r="T2" t="s">
        <v>8</v>
      </c>
      <c r="U2" t="s">
        <v>11</v>
      </c>
      <c r="V2" s="7" t="s">
        <v>12</v>
      </c>
    </row>
    <row r="3" spans="2:22" ht="12.75">
      <c r="B3" s="8" t="s">
        <v>13</v>
      </c>
      <c r="C3" s="11">
        <v>0</v>
      </c>
      <c r="D3" s="11">
        <v>6540</v>
      </c>
      <c r="E3" s="11">
        <v>2542</v>
      </c>
      <c r="F3" s="11">
        <v>9082</v>
      </c>
      <c r="H3" s="12">
        <v>90</v>
      </c>
      <c r="I3" s="13">
        <f>Dimensions_Calcs!AD38/H3</f>
        <v>0</v>
      </c>
      <c r="J3" s="13">
        <f>I3/40</f>
        <v>0</v>
      </c>
      <c r="K3" s="14">
        <f>I3/8</f>
        <v>0</v>
      </c>
      <c r="M3" s="8" t="s">
        <v>13</v>
      </c>
      <c r="N3" s="9" t="s">
        <v>14</v>
      </c>
      <c r="O3" s="9">
        <v>4194</v>
      </c>
      <c r="P3" s="9">
        <v>1630</v>
      </c>
      <c r="Q3" s="10">
        <v>5824</v>
      </c>
      <c r="S3" s="12">
        <v>90</v>
      </c>
      <c r="T3" s="13">
        <f>O3/S3</f>
        <v>46.6</v>
      </c>
      <c r="U3" s="13">
        <f>T3/40</f>
        <v>1.165</v>
      </c>
      <c r="V3" s="14">
        <f>T3/8</f>
        <v>5.825</v>
      </c>
    </row>
    <row r="4" spans="2:22" ht="12.75">
      <c r="B4" s="8" t="s">
        <v>15</v>
      </c>
      <c r="C4" s="11">
        <v>33196</v>
      </c>
      <c r="D4" s="11">
        <v>33808</v>
      </c>
      <c r="E4" s="11">
        <v>8051</v>
      </c>
      <c r="F4" s="11">
        <v>75055</v>
      </c>
      <c r="H4" s="12">
        <v>75</v>
      </c>
      <c r="I4" s="13">
        <f>Dimensions_Calcs!AD39/H4</f>
        <v>0</v>
      </c>
      <c r="J4" s="13">
        <f>I4/40</f>
        <v>0</v>
      </c>
      <c r="K4" s="14">
        <f>I4/8</f>
        <v>0</v>
      </c>
      <c r="M4" s="8" t="s">
        <v>15</v>
      </c>
      <c r="N4" s="9">
        <v>23735</v>
      </c>
      <c r="O4" s="9">
        <v>24170</v>
      </c>
      <c r="P4" s="9">
        <v>5764</v>
      </c>
      <c r="Q4" s="10">
        <v>53669</v>
      </c>
      <c r="S4" s="12">
        <v>75</v>
      </c>
      <c r="T4" s="13">
        <f>O4/S4</f>
        <v>322.26666666666665</v>
      </c>
      <c r="U4" s="13">
        <f>T4/40</f>
        <v>8.056666666666667</v>
      </c>
      <c r="V4" s="14">
        <f>T4/8</f>
        <v>40.28333333333333</v>
      </c>
    </row>
    <row r="5" spans="2:22" ht="12.75">
      <c r="B5" s="8" t="s">
        <v>16</v>
      </c>
      <c r="C5" s="11">
        <v>8368</v>
      </c>
      <c r="D5" s="11">
        <v>3640</v>
      </c>
      <c r="E5" s="11">
        <v>0</v>
      </c>
      <c r="F5" s="11">
        <v>12008</v>
      </c>
      <c r="H5" s="12">
        <v>75</v>
      </c>
      <c r="I5" s="13">
        <f>Dimensions_Calcs!AD40/H5</f>
        <v>0</v>
      </c>
      <c r="J5" s="13">
        <f>I5/40</f>
        <v>0</v>
      </c>
      <c r="K5" s="14">
        <f>I5/8</f>
        <v>0</v>
      </c>
      <c r="M5" s="8" t="s">
        <v>16</v>
      </c>
      <c r="N5" s="9">
        <v>7295</v>
      </c>
      <c r="O5" s="9">
        <v>3172</v>
      </c>
      <c r="P5" s="9" t="s">
        <v>14</v>
      </c>
      <c r="Q5" s="10">
        <v>10467</v>
      </c>
      <c r="S5" s="12">
        <v>75</v>
      </c>
      <c r="T5" s="13">
        <f>O5/S5</f>
        <v>42.29333333333334</v>
      </c>
      <c r="U5" s="13">
        <f>T5/40</f>
        <v>1.0573333333333335</v>
      </c>
      <c r="V5" s="14">
        <f>T5/8</f>
        <v>5.286666666666667</v>
      </c>
    </row>
    <row r="6" spans="2:22" ht="12.75">
      <c r="B6" s="8" t="s">
        <v>17</v>
      </c>
      <c r="C6" s="11">
        <v>1580</v>
      </c>
      <c r="D6" s="11">
        <v>1617</v>
      </c>
      <c r="E6" s="11">
        <v>364</v>
      </c>
      <c r="F6" s="11">
        <v>3561</v>
      </c>
      <c r="H6" s="12">
        <v>75</v>
      </c>
      <c r="I6" s="13">
        <f>Dimensions_Calcs!AD41/H6</f>
        <v>0</v>
      </c>
      <c r="J6" s="13">
        <f>I6/40</f>
        <v>0</v>
      </c>
      <c r="K6" s="14">
        <f>I6/8</f>
        <v>0</v>
      </c>
      <c r="M6" s="8" t="s">
        <v>17</v>
      </c>
      <c r="N6" s="9">
        <v>1376</v>
      </c>
      <c r="O6" s="9">
        <v>1407</v>
      </c>
      <c r="P6" s="9">
        <v>320</v>
      </c>
      <c r="Q6" s="10">
        <v>3103</v>
      </c>
      <c r="S6" s="12">
        <v>75</v>
      </c>
      <c r="T6" s="13">
        <f>O6/S6</f>
        <v>18.76</v>
      </c>
      <c r="U6" s="13">
        <f>T6/40</f>
        <v>0.46900000000000003</v>
      </c>
      <c r="V6" s="14">
        <f>T6/8</f>
        <v>2.345</v>
      </c>
    </row>
    <row r="7" spans="2:22" ht="12.75">
      <c r="B7" s="8" t="s">
        <v>18</v>
      </c>
      <c r="C7" s="11">
        <v>51077</v>
      </c>
      <c r="D7" s="11">
        <v>47529</v>
      </c>
      <c r="E7" s="11">
        <v>0</v>
      </c>
      <c r="F7" s="11">
        <v>98606</v>
      </c>
      <c r="H7" s="12">
        <v>75</v>
      </c>
      <c r="I7" s="13">
        <f>Dimensions_Calcs!AD42/H7</f>
        <v>0</v>
      </c>
      <c r="J7" s="13">
        <f>I7/40</f>
        <v>0</v>
      </c>
      <c r="K7" s="14">
        <f>I7/8</f>
        <v>0</v>
      </c>
      <c r="M7" s="8" t="s">
        <v>18</v>
      </c>
      <c r="N7" s="9">
        <v>44517</v>
      </c>
      <c r="O7" s="9">
        <v>41423</v>
      </c>
      <c r="P7" s="9" t="s">
        <v>14</v>
      </c>
      <c r="Q7" s="10">
        <v>85940</v>
      </c>
      <c r="S7" s="12">
        <v>75</v>
      </c>
      <c r="T7" s="13">
        <f>O7/S7</f>
        <v>552.3066666666666</v>
      </c>
      <c r="U7" s="13">
        <f>T7/40</f>
        <v>13.807666666666666</v>
      </c>
      <c r="V7" s="14">
        <f>T7/8</f>
        <v>69.03833333333333</v>
      </c>
    </row>
    <row r="8" spans="2:22" ht="12.75">
      <c r="B8" s="8" t="s">
        <v>19</v>
      </c>
      <c r="C8" s="11">
        <v>32983</v>
      </c>
      <c r="D8" s="11">
        <v>12937</v>
      </c>
      <c r="E8" s="11">
        <v>6129</v>
      </c>
      <c r="F8" s="11">
        <v>52049</v>
      </c>
      <c r="H8" s="12">
        <v>75</v>
      </c>
      <c r="I8" s="13">
        <f>Dimensions_Calcs!AD43/H8</f>
        <v>0</v>
      </c>
      <c r="J8" s="13">
        <f>I8/40</f>
        <v>0</v>
      </c>
      <c r="K8" s="14">
        <f>I8/8</f>
        <v>0</v>
      </c>
      <c r="M8" s="8" t="s">
        <v>19</v>
      </c>
      <c r="N8" s="9">
        <v>25629</v>
      </c>
      <c r="O8" s="9">
        <v>10052</v>
      </c>
      <c r="P8" s="9">
        <v>4762</v>
      </c>
      <c r="Q8" s="10">
        <v>40443</v>
      </c>
      <c r="S8" s="12">
        <v>75</v>
      </c>
      <c r="T8" s="13">
        <f>O8/S8</f>
        <v>134.02666666666667</v>
      </c>
      <c r="U8" s="13">
        <f>T8/40</f>
        <v>3.3506666666666667</v>
      </c>
      <c r="V8" s="14">
        <f>T8/8</f>
        <v>16.753333333333334</v>
      </c>
    </row>
    <row r="9" spans="2:22" ht="12.75">
      <c r="B9" s="8" t="s">
        <v>20</v>
      </c>
      <c r="C9" s="11">
        <v>2361</v>
      </c>
      <c r="D9" s="11">
        <v>2806</v>
      </c>
      <c r="E9" s="11">
        <v>579</v>
      </c>
      <c r="F9" s="11">
        <v>5746</v>
      </c>
      <c r="H9" s="12">
        <v>75</v>
      </c>
      <c r="I9" s="13">
        <f>Dimensions_Calcs!AD44/H9</f>
        <v>0</v>
      </c>
      <c r="J9" s="13">
        <f>I9/40</f>
        <v>0</v>
      </c>
      <c r="K9" s="14">
        <f>I9/8</f>
        <v>0</v>
      </c>
      <c r="M9" s="8" t="s">
        <v>20</v>
      </c>
      <c r="N9" s="9">
        <v>1833</v>
      </c>
      <c r="O9" s="9">
        <v>2181</v>
      </c>
      <c r="P9" s="9">
        <v>449</v>
      </c>
      <c r="Q9" s="10">
        <v>4463</v>
      </c>
      <c r="S9" s="12">
        <v>75</v>
      </c>
      <c r="T9" s="13">
        <f>O9/S9</f>
        <v>29.08</v>
      </c>
      <c r="U9" s="13">
        <f>T9/40</f>
        <v>0.727</v>
      </c>
      <c r="V9" s="14">
        <f>T9/8</f>
        <v>3.635</v>
      </c>
    </row>
    <row r="10" spans="2:22" ht="12.75">
      <c r="B10" s="8" t="s">
        <v>21</v>
      </c>
      <c r="C10" s="11">
        <v>9043</v>
      </c>
      <c r="D10" s="11">
        <v>4012</v>
      </c>
      <c r="E10" s="11">
        <v>0</v>
      </c>
      <c r="F10" s="11">
        <v>13055</v>
      </c>
      <c r="H10" s="12">
        <v>75</v>
      </c>
      <c r="I10" s="13">
        <f>Dimensions_Calcs!AD45/H10</f>
        <v>0</v>
      </c>
      <c r="J10" s="13">
        <f>I10/40</f>
        <v>0</v>
      </c>
      <c r="K10" s="14">
        <f>I10/8</f>
        <v>0</v>
      </c>
      <c r="M10" s="8" t="s">
        <v>21</v>
      </c>
      <c r="N10" s="9">
        <v>7027</v>
      </c>
      <c r="O10" s="9">
        <v>3118</v>
      </c>
      <c r="P10" s="9" t="s">
        <v>14</v>
      </c>
      <c r="Q10" s="10">
        <v>10145</v>
      </c>
      <c r="S10" s="12">
        <v>75</v>
      </c>
      <c r="T10" s="13">
        <f>O10/S10</f>
        <v>41.57333333333333</v>
      </c>
      <c r="U10" s="13">
        <f>T10/40</f>
        <v>1.0393333333333332</v>
      </c>
      <c r="V10" s="14">
        <f>T10/8</f>
        <v>5.196666666666666</v>
      </c>
    </row>
    <row r="11" spans="2:22" ht="12.75">
      <c r="B11" s="8" t="s">
        <v>22</v>
      </c>
      <c r="C11" s="11">
        <v>9095</v>
      </c>
      <c r="D11" s="11">
        <v>2883</v>
      </c>
      <c r="E11" s="11">
        <v>0</v>
      </c>
      <c r="F11" s="11">
        <v>11978</v>
      </c>
      <c r="H11" s="12">
        <v>75</v>
      </c>
      <c r="I11" s="13">
        <f>Dimensions_Calcs!AD46/H11</f>
        <v>0</v>
      </c>
      <c r="J11" s="13">
        <f>I11/40</f>
        <v>0</v>
      </c>
      <c r="K11" s="14">
        <f>I11/8</f>
        <v>0</v>
      </c>
      <c r="M11" s="8" t="s">
        <v>22</v>
      </c>
      <c r="N11" s="9">
        <v>7068</v>
      </c>
      <c r="O11" s="9">
        <v>2240</v>
      </c>
      <c r="P11" s="9" t="s">
        <v>14</v>
      </c>
      <c r="Q11" s="10">
        <v>9308</v>
      </c>
      <c r="S11" s="12">
        <v>75</v>
      </c>
      <c r="T11" s="13">
        <f>O11/S11</f>
        <v>29.866666666666667</v>
      </c>
      <c r="U11" s="13">
        <f>T11/40</f>
        <v>0.7466666666666667</v>
      </c>
      <c r="V11" s="14">
        <f>T11/8</f>
        <v>3.7333333333333334</v>
      </c>
    </row>
    <row r="12" spans="2:22" ht="12.75">
      <c r="B12" s="8" t="s">
        <v>23</v>
      </c>
      <c r="C12" s="11">
        <v>30318</v>
      </c>
      <c r="D12" s="11">
        <v>13544</v>
      </c>
      <c r="E12" s="11">
        <v>0</v>
      </c>
      <c r="F12" s="11">
        <v>43862</v>
      </c>
      <c r="H12" s="12">
        <v>75</v>
      </c>
      <c r="I12" s="13">
        <f>Dimensions_Calcs!AD47/H12</f>
        <v>0</v>
      </c>
      <c r="J12" s="13">
        <f>I12/40</f>
        <v>0</v>
      </c>
      <c r="K12" s="14">
        <f>I12/8</f>
        <v>0</v>
      </c>
      <c r="M12" s="8" t="s">
        <v>23</v>
      </c>
      <c r="N12" s="9">
        <v>23559</v>
      </c>
      <c r="O12" s="9">
        <v>10525</v>
      </c>
      <c r="P12" s="9" t="s">
        <v>14</v>
      </c>
      <c r="Q12" s="10">
        <v>34084</v>
      </c>
      <c r="S12" s="12">
        <v>75</v>
      </c>
      <c r="T12" s="13">
        <f>O12/S12</f>
        <v>140.33333333333334</v>
      </c>
      <c r="U12" s="13">
        <f>T12/40</f>
        <v>3.5083333333333337</v>
      </c>
      <c r="V12" s="14">
        <f>T12/8</f>
        <v>17.541666666666668</v>
      </c>
    </row>
    <row r="13" spans="2:22" ht="12.75">
      <c r="B13" s="8" t="s">
        <v>24</v>
      </c>
      <c r="C13" s="11">
        <v>4076</v>
      </c>
      <c r="D13" s="11">
        <v>11285</v>
      </c>
      <c r="E13" s="11">
        <v>0</v>
      </c>
      <c r="F13" s="11">
        <v>15361</v>
      </c>
      <c r="H13" s="12">
        <v>75</v>
      </c>
      <c r="I13" s="13">
        <f>Dimensions_Calcs!AD48/H13</f>
        <v>0</v>
      </c>
      <c r="J13" s="13">
        <f>I13/40</f>
        <v>0</v>
      </c>
      <c r="K13" s="14">
        <f>I13/8</f>
        <v>0</v>
      </c>
      <c r="M13" s="8" t="s">
        <v>24</v>
      </c>
      <c r="N13" s="9">
        <v>2562</v>
      </c>
      <c r="O13" s="9">
        <v>7090</v>
      </c>
      <c r="P13" s="9" t="s">
        <v>14</v>
      </c>
      <c r="Q13" s="10">
        <v>9652</v>
      </c>
      <c r="S13" s="12">
        <v>75</v>
      </c>
      <c r="T13" s="13">
        <f>O13/S13</f>
        <v>94.53333333333333</v>
      </c>
      <c r="U13" s="13">
        <f>T13/40</f>
        <v>2.3633333333333333</v>
      </c>
      <c r="V13" s="14">
        <f>T13/8</f>
        <v>11.816666666666666</v>
      </c>
    </row>
    <row r="14" spans="2:22" ht="12.75">
      <c r="B14" s="8" t="s">
        <v>25</v>
      </c>
      <c r="C14" s="11">
        <v>15438</v>
      </c>
      <c r="D14" s="11">
        <v>15333</v>
      </c>
      <c r="E14" s="11">
        <v>0</v>
      </c>
      <c r="F14" s="11">
        <v>30771</v>
      </c>
      <c r="H14" s="12">
        <v>75</v>
      </c>
      <c r="I14" s="13">
        <f>Dimensions_Calcs!AD49/H14</f>
        <v>0</v>
      </c>
      <c r="J14" s="13">
        <f>I14/40</f>
        <v>0</v>
      </c>
      <c r="K14" s="14">
        <f>I14/8</f>
        <v>0</v>
      </c>
      <c r="M14" s="8" t="s">
        <v>25</v>
      </c>
      <c r="N14" s="9">
        <v>9698</v>
      </c>
      <c r="O14" s="9">
        <v>9635</v>
      </c>
      <c r="P14" s="9" t="s">
        <v>14</v>
      </c>
      <c r="Q14" s="10">
        <v>19333</v>
      </c>
      <c r="S14" s="12">
        <v>75</v>
      </c>
      <c r="T14" s="13">
        <f>O14/S14</f>
        <v>128.46666666666667</v>
      </c>
      <c r="U14" s="13">
        <f>T14/40</f>
        <v>3.211666666666667</v>
      </c>
      <c r="V14" s="14">
        <f>T14/8</f>
        <v>16.058333333333334</v>
      </c>
    </row>
    <row r="15" spans="2:22" ht="12.75">
      <c r="B15" s="8" t="s">
        <v>26</v>
      </c>
      <c r="C15" s="11">
        <v>6984</v>
      </c>
      <c r="D15" s="11">
        <v>1428</v>
      </c>
      <c r="E15" s="11">
        <v>0</v>
      </c>
      <c r="F15" s="11">
        <v>8412</v>
      </c>
      <c r="H15" s="12">
        <v>75</v>
      </c>
      <c r="I15" s="13">
        <f>Dimensions_Calcs!AD50/H15</f>
        <v>0</v>
      </c>
      <c r="J15" s="13">
        <f>I15/40</f>
        <v>0</v>
      </c>
      <c r="K15" s="14">
        <f>I15/8</f>
        <v>0</v>
      </c>
      <c r="M15" s="8" t="s">
        <v>26</v>
      </c>
      <c r="N15" s="9">
        <v>4387</v>
      </c>
      <c r="O15" s="9">
        <v>897</v>
      </c>
      <c r="P15" s="9" t="s">
        <v>14</v>
      </c>
      <c r="Q15" s="10">
        <v>5284</v>
      </c>
      <c r="S15" s="12">
        <v>75</v>
      </c>
      <c r="T15" s="13">
        <f>O15/S15</f>
        <v>11.96</v>
      </c>
      <c r="U15" s="13">
        <f>T15/40</f>
        <v>0.29900000000000004</v>
      </c>
      <c r="V15" s="14">
        <f>T15/8</f>
        <v>1.495</v>
      </c>
    </row>
    <row r="16" spans="2:22" ht="12.75">
      <c r="B16" s="8" t="s">
        <v>27</v>
      </c>
      <c r="C16" s="11">
        <v>9178</v>
      </c>
      <c r="D16" s="11">
        <v>13905</v>
      </c>
      <c r="E16" s="11">
        <v>0</v>
      </c>
      <c r="F16" s="11">
        <v>23083</v>
      </c>
      <c r="H16" s="12">
        <v>75</v>
      </c>
      <c r="I16" s="13">
        <f>Dimensions_Calcs!AD51/H16</f>
        <v>0</v>
      </c>
      <c r="J16" s="13">
        <f>I16/40</f>
        <v>0</v>
      </c>
      <c r="K16" s="14">
        <f>I16/8</f>
        <v>0</v>
      </c>
      <c r="M16" s="8" t="s">
        <v>27</v>
      </c>
      <c r="N16" s="9">
        <v>5766</v>
      </c>
      <c r="O16" s="9">
        <v>8736</v>
      </c>
      <c r="P16" s="9" t="s">
        <v>14</v>
      </c>
      <c r="Q16" s="10">
        <v>14502</v>
      </c>
      <c r="S16" s="12">
        <v>75</v>
      </c>
      <c r="T16" s="13">
        <f>O16/S16</f>
        <v>116.48</v>
      </c>
      <c r="U16" s="13">
        <f>T16/40</f>
        <v>2.912</v>
      </c>
      <c r="V16" s="14">
        <f>T16/8</f>
        <v>14.56</v>
      </c>
    </row>
    <row r="17" spans="2:22" ht="12.75">
      <c r="B17" s="8" t="s">
        <v>28</v>
      </c>
      <c r="C17" s="11">
        <v>18980</v>
      </c>
      <c r="D17" s="11">
        <v>9010</v>
      </c>
      <c r="E17" s="11">
        <v>0</v>
      </c>
      <c r="F17" s="11">
        <v>27990</v>
      </c>
      <c r="H17" s="12">
        <v>75</v>
      </c>
      <c r="I17" s="13">
        <f>Dimensions_Calcs!AD52/H17</f>
        <v>0</v>
      </c>
      <c r="J17" s="13">
        <f>I17/40</f>
        <v>0</v>
      </c>
      <c r="K17" s="14">
        <f>I17/8</f>
        <v>0</v>
      </c>
      <c r="M17" s="8" t="s">
        <v>28</v>
      </c>
      <c r="N17" s="9">
        <v>11754</v>
      </c>
      <c r="O17" s="9">
        <v>5580</v>
      </c>
      <c r="P17" s="9" t="s">
        <v>14</v>
      </c>
      <c r="Q17" s="10">
        <v>17334</v>
      </c>
      <c r="S17" s="12">
        <v>75</v>
      </c>
      <c r="T17" s="13">
        <f>O17/S17</f>
        <v>74.4</v>
      </c>
      <c r="U17" s="13">
        <f>T17/40</f>
        <v>1.86</v>
      </c>
      <c r="V17" s="14">
        <f>T17/8</f>
        <v>9.3</v>
      </c>
    </row>
    <row r="18" spans="2:22" ht="12.75">
      <c r="B18" s="8" t="s">
        <v>29</v>
      </c>
      <c r="C18" s="11">
        <v>2656</v>
      </c>
      <c r="D18" s="11">
        <v>1084</v>
      </c>
      <c r="E18" s="11">
        <v>0</v>
      </c>
      <c r="F18" s="11">
        <v>3740</v>
      </c>
      <c r="H18" s="12">
        <v>75</v>
      </c>
      <c r="I18" s="13">
        <f>Dimensions_Calcs!AD53/H18</f>
        <v>0</v>
      </c>
      <c r="J18" s="13">
        <f>I18/40</f>
        <v>0</v>
      </c>
      <c r="K18" s="14">
        <f>I18/8</f>
        <v>0</v>
      </c>
      <c r="M18" s="8" t="s">
        <v>29</v>
      </c>
      <c r="N18" s="9">
        <v>1574</v>
      </c>
      <c r="O18" s="9">
        <v>642</v>
      </c>
      <c r="P18" s="9" t="s">
        <v>14</v>
      </c>
      <c r="Q18" s="10">
        <v>2216</v>
      </c>
      <c r="S18" s="12">
        <v>75</v>
      </c>
      <c r="T18" s="13">
        <f>O18/S18</f>
        <v>8.56</v>
      </c>
      <c r="U18" s="13">
        <f>T18/40</f>
        <v>0.21400000000000002</v>
      </c>
      <c r="V18" s="14">
        <f>T18/8</f>
        <v>1.07</v>
      </c>
    </row>
    <row r="19" spans="2:22" ht="12.75">
      <c r="B19" s="8" t="s">
        <v>30</v>
      </c>
      <c r="C19" s="11">
        <v>1732</v>
      </c>
      <c r="D19" s="11">
        <v>942</v>
      </c>
      <c r="E19" s="11">
        <v>0</v>
      </c>
      <c r="F19" s="11">
        <v>2674</v>
      </c>
      <c r="H19" s="12">
        <v>75</v>
      </c>
      <c r="I19" s="13">
        <f>Dimensions_Calcs!AD54/H19</f>
        <v>0</v>
      </c>
      <c r="J19" s="13">
        <f>I19/40</f>
        <v>0</v>
      </c>
      <c r="K19" s="14">
        <f>I19/8</f>
        <v>0</v>
      </c>
      <c r="M19" s="8" t="s">
        <v>30</v>
      </c>
      <c r="N19" s="9">
        <v>1027</v>
      </c>
      <c r="O19" s="9">
        <v>558</v>
      </c>
      <c r="P19" s="9" t="s">
        <v>14</v>
      </c>
      <c r="Q19" s="10">
        <v>1585</v>
      </c>
      <c r="S19" s="12">
        <v>75</v>
      </c>
      <c r="T19" s="13">
        <f>O19/S19</f>
        <v>7.44</v>
      </c>
      <c r="U19" s="13">
        <f>T19/40</f>
        <v>0.186</v>
      </c>
      <c r="V19" s="14">
        <f>T19/8</f>
        <v>0.93</v>
      </c>
    </row>
    <row r="20" spans="2:22" ht="12.75">
      <c r="B20" s="8" t="s">
        <v>31</v>
      </c>
      <c r="C20" s="11">
        <v>15593</v>
      </c>
      <c r="D20" s="11">
        <v>4945</v>
      </c>
      <c r="E20" s="11">
        <v>0</v>
      </c>
      <c r="F20" s="11">
        <v>20538</v>
      </c>
      <c r="H20" s="12">
        <v>75</v>
      </c>
      <c r="I20" s="13">
        <f>Dimensions_Calcs!AD55/H20</f>
        <v>0</v>
      </c>
      <c r="J20" s="13">
        <f>I20/40</f>
        <v>0</v>
      </c>
      <c r="K20" s="14">
        <f>I20/8</f>
        <v>0</v>
      </c>
      <c r="M20" s="8" t="s">
        <v>31</v>
      </c>
      <c r="N20" s="9">
        <v>9239</v>
      </c>
      <c r="O20" s="9">
        <v>2930</v>
      </c>
      <c r="P20" s="9" t="s">
        <v>14</v>
      </c>
      <c r="Q20" s="10">
        <v>12169</v>
      </c>
      <c r="S20" s="12">
        <v>75</v>
      </c>
      <c r="T20" s="13">
        <f>O20/S20</f>
        <v>39.06666666666667</v>
      </c>
      <c r="U20" s="13">
        <f>T20/40</f>
        <v>0.9766666666666668</v>
      </c>
      <c r="V20" s="14">
        <f>T20/8</f>
        <v>4.883333333333334</v>
      </c>
    </row>
    <row r="21" spans="2:22" ht="12.75">
      <c r="B21" s="8" t="s">
        <v>32</v>
      </c>
      <c r="C21" s="11">
        <v>7738</v>
      </c>
      <c r="D21" s="11">
        <v>12576</v>
      </c>
      <c r="E21" s="11">
        <v>0</v>
      </c>
      <c r="F21" s="11">
        <v>20314</v>
      </c>
      <c r="H21" s="12">
        <v>75</v>
      </c>
      <c r="I21" s="13">
        <f>Dimensions_Calcs!AD56/H21</f>
        <v>0</v>
      </c>
      <c r="J21" s="13">
        <f>I21/40</f>
        <v>0</v>
      </c>
      <c r="K21" s="14">
        <f>I21/8</f>
        <v>0</v>
      </c>
      <c r="M21" s="8" t="s">
        <v>32</v>
      </c>
      <c r="N21" s="9">
        <v>4586</v>
      </c>
      <c r="O21" s="9">
        <v>7452</v>
      </c>
      <c r="P21" s="9" t="s">
        <v>14</v>
      </c>
      <c r="Q21" s="10">
        <v>12038</v>
      </c>
      <c r="S21" s="12">
        <v>75</v>
      </c>
      <c r="T21" s="13">
        <f>O21/S21</f>
        <v>99.36</v>
      </c>
      <c r="U21" s="13">
        <f>T21/40</f>
        <v>2.484</v>
      </c>
      <c r="V21" s="14">
        <f>T21/8</f>
        <v>12.42</v>
      </c>
    </row>
    <row r="22" spans="2:22" ht="12.75">
      <c r="B22" s="8" t="s">
        <v>33</v>
      </c>
      <c r="C22" s="11">
        <v>9436</v>
      </c>
      <c r="D22" s="11">
        <v>11408</v>
      </c>
      <c r="E22" s="11">
        <v>0</v>
      </c>
      <c r="F22" s="11">
        <v>20844</v>
      </c>
      <c r="H22" s="12">
        <v>75</v>
      </c>
      <c r="I22" s="13">
        <f>Dimensions_Calcs!AD57/H22</f>
        <v>0</v>
      </c>
      <c r="J22" s="13">
        <f>I22/40</f>
        <v>0</v>
      </c>
      <c r="K22" s="14">
        <f>I22/8</f>
        <v>0</v>
      </c>
      <c r="M22" s="8" t="s">
        <v>33</v>
      </c>
      <c r="N22" s="9">
        <v>5924</v>
      </c>
      <c r="O22" s="9">
        <v>7169</v>
      </c>
      <c r="P22" s="9" t="s">
        <v>14</v>
      </c>
      <c r="Q22" s="10">
        <v>13093</v>
      </c>
      <c r="S22" s="12">
        <v>75</v>
      </c>
      <c r="T22" s="13">
        <f>O22/S22</f>
        <v>95.58666666666667</v>
      </c>
      <c r="U22" s="13">
        <f>T22/40</f>
        <v>2.389666666666667</v>
      </c>
      <c r="V22" s="14">
        <f>T22/8</f>
        <v>11.948333333333334</v>
      </c>
    </row>
    <row r="23" spans="2:22" ht="12.75">
      <c r="B23" s="8" t="s">
        <v>34</v>
      </c>
      <c r="C23" s="11">
        <v>8316</v>
      </c>
      <c r="D23" s="11">
        <v>753</v>
      </c>
      <c r="E23" s="11">
        <v>0</v>
      </c>
      <c r="F23" s="11">
        <v>9069</v>
      </c>
      <c r="H23" s="12">
        <v>75</v>
      </c>
      <c r="I23" s="13">
        <f>Dimensions_Calcs!AD58/H23</f>
        <v>0</v>
      </c>
      <c r="J23" s="13">
        <f>I23/40</f>
        <v>0</v>
      </c>
      <c r="K23" s="14">
        <f>I23/8</f>
        <v>0</v>
      </c>
      <c r="M23" s="8" t="s">
        <v>34</v>
      </c>
      <c r="N23" s="9">
        <v>4928</v>
      </c>
      <c r="O23" s="9">
        <v>447</v>
      </c>
      <c r="P23" s="9" t="s">
        <v>14</v>
      </c>
      <c r="Q23" s="10">
        <v>5375</v>
      </c>
      <c r="S23" s="12">
        <v>75</v>
      </c>
      <c r="T23" s="13">
        <f>O23/S23</f>
        <v>5.96</v>
      </c>
      <c r="U23" s="13">
        <f>T23/40</f>
        <v>0.149</v>
      </c>
      <c r="V23" s="14">
        <f>T23/8</f>
        <v>0.745</v>
      </c>
    </row>
    <row r="24" spans="2:22" ht="12.75">
      <c r="B24" s="8" t="s">
        <v>35</v>
      </c>
      <c r="C24" s="11">
        <v>17095</v>
      </c>
      <c r="D24" s="11">
        <v>3485</v>
      </c>
      <c r="E24" s="11">
        <v>0</v>
      </c>
      <c r="F24" s="11">
        <v>20580</v>
      </c>
      <c r="H24" s="12">
        <v>75</v>
      </c>
      <c r="I24" s="13">
        <f>Dimensions_Calcs!AD59/H24</f>
        <v>0</v>
      </c>
      <c r="J24" s="13">
        <f>I24/40</f>
        <v>0</v>
      </c>
      <c r="K24" s="14">
        <f>I24/8</f>
        <v>0</v>
      </c>
      <c r="M24" s="8" t="s">
        <v>35</v>
      </c>
      <c r="N24" s="9">
        <v>10129</v>
      </c>
      <c r="O24" s="9">
        <v>2066</v>
      </c>
      <c r="P24" s="9" t="s">
        <v>14</v>
      </c>
      <c r="Q24" s="10">
        <v>12195</v>
      </c>
      <c r="S24" s="12">
        <v>75</v>
      </c>
      <c r="T24" s="13">
        <f>O24/S24</f>
        <v>27.546666666666667</v>
      </c>
      <c r="U24" s="13">
        <f>T24/40</f>
        <v>0.6886666666666666</v>
      </c>
      <c r="V24" s="14">
        <f>T24/8</f>
        <v>3.4433333333333334</v>
      </c>
    </row>
    <row r="25" spans="2:22" ht="12.75">
      <c r="B25" s="8" t="s">
        <v>36</v>
      </c>
      <c r="C25" s="11">
        <v>5197</v>
      </c>
      <c r="D25" s="11">
        <v>2826</v>
      </c>
      <c r="E25" s="11">
        <v>0</v>
      </c>
      <c r="F25" s="11">
        <v>8023</v>
      </c>
      <c r="H25" s="12">
        <v>75</v>
      </c>
      <c r="I25" s="13">
        <f>Dimensions_Calcs!AD60/H25</f>
        <v>0</v>
      </c>
      <c r="J25" s="13">
        <f>I25/40</f>
        <v>0</v>
      </c>
      <c r="K25" s="14">
        <f>I25/8</f>
        <v>0</v>
      </c>
      <c r="M25" s="8" t="s">
        <v>36</v>
      </c>
      <c r="N25" s="9">
        <v>3080</v>
      </c>
      <c r="O25" s="9">
        <v>1674</v>
      </c>
      <c r="P25" s="9" t="s">
        <v>14</v>
      </c>
      <c r="Q25" s="10">
        <v>4754</v>
      </c>
      <c r="S25" s="12">
        <v>75</v>
      </c>
      <c r="T25" s="13">
        <f>O25/S25</f>
        <v>22.32</v>
      </c>
      <c r="U25" s="13">
        <f>T25/40</f>
        <v>0.558</v>
      </c>
      <c r="V25" s="14">
        <f>T25/8</f>
        <v>2.79</v>
      </c>
    </row>
    <row r="26" spans="2:22" ht="12.75">
      <c r="B26" s="8" t="s">
        <v>37</v>
      </c>
      <c r="C26" s="11">
        <v>8269</v>
      </c>
      <c r="D26" s="11">
        <v>10114</v>
      </c>
      <c r="E26" s="11">
        <v>0</v>
      </c>
      <c r="F26" s="11">
        <v>18383</v>
      </c>
      <c r="H26" s="12">
        <v>75</v>
      </c>
      <c r="I26" s="13">
        <f>Dimensions_Calcs!AD61/H26</f>
        <v>0</v>
      </c>
      <c r="J26" s="13">
        <f>I26/40</f>
        <v>0</v>
      </c>
      <c r="K26" s="14">
        <f>I26/8</f>
        <v>0</v>
      </c>
      <c r="M26" s="8" t="s">
        <v>37</v>
      </c>
      <c r="N26" s="9">
        <v>8269</v>
      </c>
      <c r="O26" s="9">
        <v>10114</v>
      </c>
      <c r="P26" s="9" t="s">
        <v>14</v>
      </c>
      <c r="Q26" s="10">
        <v>18383</v>
      </c>
      <c r="S26" s="12">
        <v>75</v>
      </c>
      <c r="T26" s="13">
        <f>O26/S26</f>
        <v>134.85333333333332</v>
      </c>
      <c r="U26" s="13">
        <f>T26/40</f>
        <v>3.3713333333333333</v>
      </c>
      <c r="V26" s="14">
        <f>T26/8</f>
        <v>16.856666666666666</v>
      </c>
    </row>
    <row r="27" spans="2:22" ht="12.75">
      <c r="B27" s="8" t="s">
        <v>38</v>
      </c>
      <c r="C27" s="11">
        <v>4719</v>
      </c>
      <c r="D27" s="11">
        <v>4948</v>
      </c>
      <c r="E27" s="11">
        <v>0</v>
      </c>
      <c r="F27" s="11">
        <v>9667</v>
      </c>
      <c r="H27" s="12">
        <v>75</v>
      </c>
      <c r="I27" s="13">
        <f>Dimensions_Calcs!AD62/H27</f>
        <v>0</v>
      </c>
      <c r="J27" s="13">
        <f>I27/40</f>
        <v>0</v>
      </c>
      <c r="K27" s="14">
        <f>I27/8</f>
        <v>0</v>
      </c>
      <c r="M27" s="8" t="s">
        <v>38</v>
      </c>
      <c r="N27" s="9">
        <v>4784</v>
      </c>
      <c r="O27" s="9">
        <v>5016</v>
      </c>
      <c r="P27" s="9" t="s">
        <v>14</v>
      </c>
      <c r="Q27" s="10">
        <v>9800</v>
      </c>
      <c r="S27" s="12">
        <v>75</v>
      </c>
      <c r="T27" s="13">
        <f>O27/S27</f>
        <v>66.88</v>
      </c>
      <c r="U27" s="13">
        <f>T27/40</f>
        <v>1.672</v>
      </c>
      <c r="V27" s="14">
        <f>T27/8</f>
        <v>8.36</v>
      </c>
    </row>
    <row r="28" spans="2:22" ht="12.75">
      <c r="B28" s="8" t="s">
        <v>39</v>
      </c>
      <c r="C28" s="11">
        <v>4252</v>
      </c>
      <c r="D28" s="11">
        <v>1734</v>
      </c>
      <c r="E28" s="11">
        <v>0</v>
      </c>
      <c r="F28" s="11">
        <v>5986</v>
      </c>
      <c r="H28" s="12">
        <v>75</v>
      </c>
      <c r="I28" s="13">
        <f>Dimensions_Calcs!AD63/H28</f>
        <v>0</v>
      </c>
      <c r="J28" s="13">
        <f>I28/40</f>
        <v>0</v>
      </c>
      <c r="K28" s="14">
        <f>I28/8</f>
        <v>0</v>
      </c>
      <c r="M28" s="8" t="s">
        <v>39</v>
      </c>
      <c r="N28" s="9">
        <v>2835</v>
      </c>
      <c r="O28" s="9">
        <v>1156</v>
      </c>
      <c r="P28" s="9" t="s">
        <v>14</v>
      </c>
      <c r="Q28" s="10">
        <v>3991</v>
      </c>
      <c r="S28" s="12">
        <v>75</v>
      </c>
      <c r="T28" s="13">
        <f>O28/S28</f>
        <v>15.413333333333334</v>
      </c>
      <c r="U28" s="13">
        <f>T28/40</f>
        <v>0.38533333333333336</v>
      </c>
      <c r="V28" s="14">
        <f>T28/8</f>
        <v>1.9266666666666667</v>
      </c>
    </row>
    <row r="29" spans="2:22" ht="12.75">
      <c r="B29" s="8" t="s">
        <v>40</v>
      </c>
      <c r="C29" s="11">
        <v>1347</v>
      </c>
      <c r="D29" s="11">
        <v>275</v>
      </c>
      <c r="E29" s="11">
        <v>0</v>
      </c>
      <c r="F29" s="11">
        <v>1622</v>
      </c>
      <c r="H29" s="12">
        <v>75</v>
      </c>
      <c r="I29" s="13">
        <f>Dimensions_Calcs!AD64/H29</f>
        <v>0</v>
      </c>
      <c r="J29" s="13">
        <f>I29/40</f>
        <v>0</v>
      </c>
      <c r="K29" s="14">
        <f>I29/8</f>
        <v>0</v>
      </c>
      <c r="M29" s="8" t="s">
        <v>40</v>
      </c>
      <c r="N29" s="9">
        <v>1347</v>
      </c>
      <c r="O29" s="9">
        <v>275</v>
      </c>
      <c r="P29" s="9" t="s">
        <v>14</v>
      </c>
      <c r="Q29" s="10">
        <v>1622</v>
      </c>
      <c r="S29" s="12">
        <v>75</v>
      </c>
      <c r="T29" s="13">
        <f>O29/S29</f>
        <v>3.6666666666666665</v>
      </c>
      <c r="U29" s="13">
        <f>T29/40</f>
        <v>0.09166666666666666</v>
      </c>
      <c r="V29" s="14">
        <f>T29/8</f>
        <v>0.4583333333333333</v>
      </c>
    </row>
    <row r="30" spans="2:22" ht="12.75">
      <c r="B30" s="15" t="s">
        <v>41</v>
      </c>
      <c r="C30" s="16">
        <v>319027</v>
      </c>
      <c r="D30" s="16">
        <v>235367</v>
      </c>
      <c r="E30" s="16">
        <v>17665</v>
      </c>
      <c r="F30" s="16">
        <v>572059</v>
      </c>
      <c r="G30" s="17"/>
      <c r="H30" s="18"/>
      <c r="I30" s="19">
        <f>SUM(I3:I29)</f>
        <v>0</v>
      </c>
      <c r="J30" s="19">
        <f>SUM(J3:J29)</f>
        <v>0</v>
      </c>
      <c r="K30" s="20">
        <f>I30/8</f>
        <v>0</v>
      </c>
      <c r="M30" s="15" t="s">
        <v>41</v>
      </c>
      <c r="N30" s="21">
        <v>233928</v>
      </c>
      <c r="O30" s="21">
        <v>173919</v>
      </c>
      <c r="P30" s="21">
        <v>12925</v>
      </c>
      <c r="Q30" s="21">
        <v>420772</v>
      </c>
      <c r="R30" s="17"/>
      <c r="S30" s="18"/>
      <c r="T30" s="19">
        <f>SUM(T3:T29)</f>
        <v>2309.5999999999995</v>
      </c>
      <c r="U30" s="19">
        <f>SUM(U3:U29)</f>
        <v>57.74000000000001</v>
      </c>
      <c r="V30" s="20">
        <f>T30/8</f>
        <v>288.69999999999993</v>
      </c>
    </row>
    <row r="31" ht="12.75">
      <c r="I31" s="22"/>
    </row>
    <row r="32" spans="2:6" ht="12.75">
      <c r="B32" s="23" t="s">
        <v>42</v>
      </c>
      <c r="C32" s="23"/>
      <c r="D32" s="23"/>
      <c r="E32" s="23"/>
      <c r="F32" s="23"/>
    </row>
    <row r="33" spans="2:6" ht="12.75">
      <c r="B33" s="6" t="s">
        <v>2</v>
      </c>
      <c r="C33" s="6" t="s">
        <v>3</v>
      </c>
      <c r="D33" s="6" t="s">
        <v>4</v>
      </c>
      <c r="E33" s="6" t="s">
        <v>5</v>
      </c>
      <c r="F33" s="6" t="s">
        <v>6</v>
      </c>
    </row>
    <row r="34" spans="2:6" ht="12.75">
      <c r="B34" s="9" t="s">
        <v>43</v>
      </c>
      <c r="C34" s="9">
        <v>0</v>
      </c>
      <c r="D34" s="9">
        <v>4405</v>
      </c>
      <c r="E34" s="9">
        <v>0</v>
      </c>
      <c r="F34" s="9">
        <v>4405</v>
      </c>
    </row>
    <row r="35" spans="2:6" ht="12.75">
      <c r="B35" s="9" t="s">
        <v>44</v>
      </c>
      <c r="C35" s="9">
        <v>22081</v>
      </c>
      <c r="D35" s="9">
        <v>0</v>
      </c>
      <c r="E35" s="9">
        <v>0</v>
      </c>
      <c r="F35" s="9">
        <v>22081</v>
      </c>
    </row>
    <row r="36" spans="2:6" ht="12.75">
      <c r="B36" s="9" t="s">
        <v>45</v>
      </c>
      <c r="C36" s="9">
        <v>15617</v>
      </c>
      <c r="D36" s="9">
        <v>0</v>
      </c>
      <c r="E36" s="9">
        <v>0</v>
      </c>
      <c r="F36" s="9">
        <v>15617</v>
      </c>
    </row>
    <row r="37" spans="2:6" ht="12.75">
      <c r="B37" s="9" t="s">
        <v>46</v>
      </c>
      <c r="C37" s="9">
        <v>7265</v>
      </c>
      <c r="D37" s="9">
        <v>0</v>
      </c>
      <c r="E37" s="9">
        <v>0</v>
      </c>
      <c r="F37" s="9">
        <v>7265</v>
      </c>
    </row>
    <row r="38" spans="2:6" ht="12.75">
      <c r="B38" s="9" t="s">
        <v>47</v>
      </c>
      <c r="C38" s="24">
        <v>44963</v>
      </c>
      <c r="D38" s="24">
        <v>4405</v>
      </c>
      <c r="E38" s="9">
        <v>0</v>
      </c>
      <c r="F38" s="24">
        <v>49368</v>
      </c>
    </row>
    <row r="40" spans="2:6" ht="12.75">
      <c r="B40" s="23" t="s">
        <v>48</v>
      </c>
      <c r="C40" s="23"/>
      <c r="D40" s="23"/>
      <c r="E40" s="23"/>
      <c r="F40" s="23"/>
    </row>
    <row r="41" spans="2:6" ht="12.75">
      <c r="B41" s="6" t="s">
        <v>2</v>
      </c>
      <c r="C41" s="6" t="s">
        <v>3</v>
      </c>
      <c r="D41" s="6" t="s">
        <v>4</v>
      </c>
      <c r="E41" s="6" t="s">
        <v>5</v>
      </c>
      <c r="F41" s="6" t="s">
        <v>6</v>
      </c>
    </row>
    <row r="42" spans="2:6" ht="12.75">
      <c r="B42" s="9" t="s">
        <v>49</v>
      </c>
      <c r="C42" s="24">
        <v>80088</v>
      </c>
      <c r="D42" s="9" t="s">
        <v>14</v>
      </c>
      <c r="E42" s="9" t="s">
        <v>14</v>
      </c>
      <c r="F42" s="24">
        <v>80088</v>
      </c>
    </row>
    <row r="43" spans="2:6" ht="12.75">
      <c r="B43" s="9" t="s">
        <v>50</v>
      </c>
      <c r="C43" s="24">
        <v>444078</v>
      </c>
      <c r="D43" s="24">
        <v>239772</v>
      </c>
      <c r="E43" s="24">
        <v>17665</v>
      </c>
      <c r="F43" s="24">
        <v>701515</v>
      </c>
    </row>
    <row r="47" ht="12.75">
      <c r="B47" s="25" t="s">
        <v>51</v>
      </c>
    </row>
    <row r="48" spans="2:11" ht="104.25" customHeight="1">
      <c r="B48" s="26" t="s">
        <v>52</v>
      </c>
      <c r="C48" s="26"/>
      <c r="D48" s="26"/>
      <c r="E48" s="26"/>
      <c r="F48" s="26"/>
      <c r="G48" s="26"/>
      <c r="H48" s="26"/>
      <c r="I48" s="26"/>
      <c r="J48" s="26"/>
      <c r="K48" s="26"/>
    </row>
    <row r="54" ht="12.75">
      <c r="B54" s="25" t="s">
        <v>53</v>
      </c>
    </row>
    <row r="55" spans="2:11" ht="12.75" customHeight="1">
      <c r="B55" s="27" t="s">
        <v>54</v>
      </c>
      <c r="C55" s="27"/>
      <c r="D55" s="27"/>
      <c r="E55" s="27"/>
      <c r="F55" s="27"/>
      <c r="G55" s="27"/>
      <c r="H55" s="27"/>
      <c r="I55" s="27"/>
      <c r="J55" s="27"/>
      <c r="K55" s="27"/>
    </row>
    <row r="57" ht="12.75">
      <c r="B57" s="28" t="s">
        <v>55</v>
      </c>
    </row>
    <row r="58" spans="2:11" ht="169.5" customHeight="1">
      <c r="B58" s="27" t="s">
        <v>56</v>
      </c>
      <c r="C58" s="27"/>
      <c r="D58" s="27"/>
      <c r="E58" s="27"/>
      <c r="F58" s="27"/>
      <c r="G58" s="27"/>
      <c r="H58" s="27"/>
      <c r="I58" s="27"/>
      <c r="J58" s="27"/>
      <c r="K58" s="27"/>
    </row>
    <row r="60" spans="2:11" ht="100.5" customHeight="1">
      <c r="B60" s="27" t="s">
        <v>57</v>
      </c>
      <c r="C60" s="27"/>
      <c r="D60" s="27"/>
      <c r="E60" s="27"/>
      <c r="F60" s="27"/>
      <c r="G60" s="27"/>
      <c r="H60" s="27"/>
      <c r="I60" s="27"/>
      <c r="J60" s="27"/>
      <c r="K60" s="27"/>
    </row>
  </sheetData>
  <sheetProtection selectLockedCells="1" selectUnlockedCells="1"/>
  <mergeCells count="8">
    <mergeCell ref="B1:F1"/>
    <mergeCell ref="M1:Q1"/>
    <mergeCell ref="B32:F32"/>
    <mergeCell ref="B40:F40"/>
    <mergeCell ref="B48:K48"/>
    <mergeCell ref="B55:K55"/>
    <mergeCell ref="B58:K58"/>
    <mergeCell ref="B60:K60"/>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B2:J25"/>
  <sheetViews>
    <sheetView zoomScale="90" zoomScaleNormal="90" workbookViewId="0" topLeftCell="A1">
      <selection activeCell="H31" sqref="H31"/>
    </sheetView>
  </sheetViews>
  <sheetFormatPr defaultColWidth="12.57421875" defaultRowHeight="12.75"/>
  <cols>
    <col min="1" max="1" width="9.421875" style="0" customWidth="1"/>
    <col min="2" max="2" width="16.8515625" style="0" customWidth="1"/>
    <col min="3" max="3" width="18.421875" style="0" customWidth="1"/>
    <col min="4" max="8" width="11.57421875" style="0" customWidth="1"/>
    <col min="9" max="9" width="20.8515625" style="0" customWidth="1"/>
    <col min="10" max="16384" width="11.57421875" style="0" customWidth="1"/>
  </cols>
  <sheetData>
    <row r="2" spans="9:10" ht="12.75">
      <c r="I2" s="111" t="s">
        <v>533</v>
      </c>
      <c r="J2" s="112" t="s">
        <v>534</v>
      </c>
    </row>
    <row r="3" spans="2:10" ht="12.75" customHeight="1">
      <c r="B3" s="52" t="s">
        <v>984</v>
      </c>
      <c r="C3" s="52"/>
      <c r="D3" s="52"/>
      <c r="E3" s="52"/>
      <c r="F3" s="52"/>
      <c r="G3" s="52"/>
      <c r="I3" s="42" t="str">
        <f>B3</f>
        <v>Crawlspace Insulation</v>
      </c>
      <c r="J3" s="56">
        <f>G6</f>
        <v>1780.12406</v>
      </c>
    </row>
    <row r="4" spans="2:10" ht="12.75">
      <c r="B4" s="114" t="s">
        <v>606</v>
      </c>
      <c r="C4" s="115" t="s">
        <v>542</v>
      </c>
      <c r="D4" s="72" t="s">
        <v>613</v>
      </c>
      <c r="E4" s="115" t="s">
        <v>544</v>
      </c>
      <c r="F4" s="72" t="s">
        <v>639</v>
      </c>
      <c r="G4" s="116" t="s">
        <v>6</v>
      </c>
      <c r="I4" s="42" t="str">
        <f>B7</f>
        <v>Exterior Wall Insulation</v>
      </c>
      <c r="J4" s="56">
        <f>G12</f>
        <v>2745.6180255230056</v>
      </c>
    </row>
    <row r="5" spans="2:10" ht="12.75">
      <c r="B5" s="155" t="s">
        <v>677</v>
      </c>
      <c r="C5" s="160" t="s">
        <v>985</v>
      </c>
      <c r="D5" s="161">
        <v>328</v>
      </c>
      <c r="E5" s="160">
        <f>D5*4</f>
        <v>1312</v>
      </c>
      <c r="F5" s="162">
        <f>Retail_Prices!H105</f>
        <v>1.3568018750000002</v>
      </c>
      <c r="G5" s="158">
        <f>E5*F5</f>
        <v>1780.12406</v>
      </c>
      <c r="I5" s="42" t="str">
        <f>B14</f>
        <v>Roof Insulation</v>
      </c>
      <c r="J5" s="56">
        <f>G23</f>
        <v>7031.391578760558</v>
      </c>
    </row>
    <row r="6" spans="2:10" ht="12.75" customHeight="1">
      <c r="B6" s="197" t="s">
        <v>6</v>
      </c>
      <c r="C6" s="197"/>
      <c r="D6" s="197"/>
      <c r="E6" s="197"/>
      <c r="F6" s="197"/>
      <c r="G6" s="121">
        <f>G5</f>
        <v>1780.12406</v>
      </c>
      <c r="H6" s="251"/>
      <c r="I6" s="42"/>
      <c r="J6" s="113"/>
    </row>
    <row r="7" spans="2:10" ht="12.75" customHeight="1">
      <c r="B7" s="98" t="s">
        <v>986</v>
      </c>
      <c r="C7" s="98"/>
      <c r="D7" s="98"/>
      <c r="E7" s="98"/>
      <c r="F7" s="98"/>
      <c r="G7" s="98"/>
      <c r="I7" s="123" t="s">
        <v>6</v>
      </c>
      <c r="J7" s="124">
        <f>SUM(J3:J6)</f>
        <v>11557.133664283565</v>
      </c>
    </row>
    <row r="8" spans="2:7" ht="12.75">
      <c r="B8" s="114" t="s">
        <v>542</v>
      </c>
      <c r="C8" s="115" t="s">
        <v>685</v>
      </c>
      <c r="D8" s="72" t="s">
        <v>987</v>
      </c>
      <c r="E8" s="115" t="s">
        <v>588</v>
      </c>
      <c r="F8" s="72" t="s">
        <v>545</v>
      </c>
      <c r="G8" s="116" t="s">
        <v>6</v>
      </c>
    </row>
    <row r="9" spans="2:10" ht="12.75">
      <c r="B9" s="114" t="s">
        <v>988</v>
      </c>
      <c r="C9" s="115">
        <f>(74+52+32+16+32+16+32+16+32+32)*1.15</f>
        <v>384.09999999999997</v>
      </c>
      <c r="D9" s="72">
        <v>8</v>
      </c>
      <c r="E9" s="115">
        <f>C9*D9*1.15</f>
        <v>3533.7199999999993</v>
      </c>
      <c r="F9" s="117">
        <f>Retail_Prices!$H$103</f>
        <v>0.4743151111111111</v>
      </c>
      <c r="G9" s="118">
        <f>F9*E9</f>
        <v>1676.096794435555</v>
      </c>
      <c r="I9" t="s">
        <v>588</v>
      </c>
      <c r="J9" s="22">
        <f>36*96</f>
        <v>3456</v>
      </c>
    </row>
    <row r="10" spans="2:10" ht="12.75">
      <c r="B10" s="155" t="s">
        <v>989</v>
      </c>
      <c r="C10" s="115">
        <f>C9</f>
        <v>384.09999999999997</v>
      </c>
      <c r="D10" s="72">
        <v>8</v>
      </c>
      <c r="E10" s="115"/>
      <c r="F10" s="72"/>
      <c r="G10" s="118">
        <f>Retail_Prices!$G$104</f>
        <v>525.065684</v>
      </c>
      <c r="I10" t="s">
        <v>589</v>
      </c>
      <c r="J10" s="12">
        <f>J7/J9</f>
        <v>3.344078027859828</v>
      </c>
    </row>
    <row r="11" spans="2:7" ht="12.75">
      <c r="B11" s="155" t="s">
        <v>990</v>
      </c>
      <c r="C11" s="115">
        <f>36+24</f>
        <v>60</v>
      </c>
      <c r="D11" s="72">
        <v>9</v>
      </c>
      <c r="E11" s="115">
        <f>C11*D11</f>
        <v>540</v>
      </c>
      <c r="F11" s="248">
        <f>Retail_Prices!$H$95</f>
        <v>1.0082510131249078</v>
      </c>
      <c r="G11" s="118">
        <f>F11*E11</f>
        <v>544.4555470874502</v>
      </c>
    </row>
    <row r="12" spans="2:7" ht="12.75" customHeight="1">
      <c r="B12" s="197" t="s">
        <v>6</v>
      </c>
      <c r="C12" s="197"/>
      <c r="D12" s="197"/>
      <c r="E12" s="197"/>
      <c r="F12" s="197"/>
      <c r="G12" s="121">
        <f>SUM(G9:G11)</f>
        <v>2745.6180255230056</v>
      </c>
    </row>
    <row r="14" spans="2:7" ht="12.75" customHeight="1">
      <c r="B14" s="98" t="s">
        <v>991</v>
      </c>
      <c r="C14" s="98"/>
      <c r="D14" s="98"/>
      <c r="E14" s="98"/>
      <c r="F14" s="98"/>
      <c r="G14" s="98"/>
    </row>
    <row r="15" spans="2:7" ht="12.75">
      <c r="B15" s="114" t="s">
        <v>606</v>
      </c>
      <c r="C15" s="115" t="s">
        <v>542</v>
      </c>
      <c r="D15" s="115" t="s">
        <v>992</v>
      </c>
      <c r="E15" s="115" t="s">
        <v>588</v>
      </c>
      <c r="F15" s="72" t="s">
        <v>545</v>
      </c>
      <c r="G15" s="116" t="s">
        <v>6</v>
      </c>
    </row>
    <row r="16" spans="2:7" ht="12.75">
      <c r="B16" s="114" t="s">
        <v>993</v>
      </c>
      <c r="C16" s="115" t="s">
        <v>994</v>
      </c>
      <c r="D16" s="72">
        <f>96*36</f>
        <v>3456</v>
      </c>
      <c r="E16" s="115">
        <f>4154*1.1</f>
        <v>4569.400000000001</v>
      </c>
      <c r="F16" s="117">
        <f>Retail_Prices!$H$97</f>
        <v>1.0563092222222223</v>
      </c>
      <c r="G16" s="118">
        <f>F16*E16</f>
        <v>4826.699360022223</v>
      </c>
    </row>
    <row r="17" spans="2:7" ht="12.75">
      <c r="B17" s="114" t="s">
        <v>993</v>
      </c>
      <c r="C17" s="115" t="s">
        <v>995</v>
      </c>
      <c r="D17" s="72">
        <f>96*36</f>
        <v>3456</v>
      </c>
      <c r="E17" s="115">
        <f>4154*1.1</f>
        <v>4569.400000000001</v>
      </c>
      <c r="F17" s="117">
        <f>Retail_Prices!H107</f>
        <v>0.704721875</v>
      </c>
      <c r="G17" s="118">
        <f>F17*E17</f>
        <v>3220.156135625001</v>
      </c>
    </row>
    <row r="18" spans="2:7" ht="12.75">
      <c r="B18" s="155" t="s">
        <v>996</v>
      </c>
      <c r="C18" s="115" t="s">
        <v>994</v>
      </c>
      <c r="D18" s="72">
        <f>32*16</f>
        <v>512</v>
      </c>
      <c r="E18" s="115">
        <f>539.7*1.1</f>
        <v>593.6700000000001</v>
      </c>
      <c r="F18" s="117">
        <f>Retail_Prices!$H$97</f>
        <v>1.0563092222222223</v>
      </c>
      <c r="G18" s="118">
        <f>F18*E18</f>
        <v>627.0990959566668</v>
      </c>
    </row>
    <row r="19" spans="2:7" ht="12.75">
      <c r="B19" s="114" t="s">
        <v>997</v>
      </c>
      <c r="C19" s="115" t="s">
        <v>994</v>
      </c>
      <c r="D19" s="72">
        <f>32*16</f>
        <v>512</v>
      </c>
      <c r="E19" s="115">
        <f>539.7*1.1</f>
        <v>593.6700000000001</v>
      </c>
      <c r="F19" s="117">
        <f>Retail_Prices!$H$97</f>
        <v>1.0563092222222223</v>
      </c>
      <c r="G19" s="118">
        <f>F19*E19</f>
        <v>627.0990959566668</v>
      </c>
    </row>
    <row r="20" spans="2:7" ht="12.75">
      <c r="B20" s="114" t="s">
        <v>998</v>
      </c>
      <c r="C20" s="115" t="s">
        <v>999</v>
      </c>
      <c r="D20" s="72">
        <f>24*36</f>
        <v>864</v>
      </c>
      <c r="E20" s="115">
        <f>D20*1.1</f>
        <v>950.4000000000001</v>
      </c>
      <c r="F20" s="117">
        <f>Retail_Prices!H96</f>
        <v>1.0001030000000002</v>
      </c>
      <c r="G20" s="118">
        <f>F20*E20</f>
        <v>950.4978912000003</v>
      </c>
    </row>
    <row r="21" spans="2:7" ht="12.75">
      <c r="B21" s="252" t="s">
        <v>1000</v>
      </c>
      <c r="C21" s="122"/>
      <c r="D21" s="235"/>
      <c r="E21" s="122"/>
      <c r="F21" s="253"/>
      <c r="G21" s="254">
        <f>-3220.16</f>
        <v>-3220.16</v>
      </c>
    </row>
    <row r="22" spans="2:7" ht="12.75">
      <c r="B22" s="114"/>
      <c r="C22" s="115"/>
      <c r="D22" s="72"/>
      <c r="E22" s="115"/>
      <c r="F22" s="117"/>
      <c r="G22" s="118"/>
    </row>
    <row r="23" spans="2:7" ht="12.75" customHeight="1">
      <c r="B23" s="197" t="s">
        <v>6</v>
      </c>
      <c r="C23" s="197"/>
      <c r="D23" s="197"/>
      <c r="E23" s="197"/>
      <c r="F23" s="197"/>
      <c r="G23" s="121">
        <f>SUM(G16:G22)</f>
        <v>7031.391578760558</v>
      </c>
    </row>
    <row r="25" spans="2:8" ht="12.75">
      <c r="B25" s="175" t="s">
        <v>6</v>
      </c>
      <c r="C25" s="176"/>
      <c r="D25" s="176"/>
      <c r="E25" s="176"/>
      <c r="F25" s="176"/>
      <c r="G25" s="177">
        <f>G6+G12+G23</f>
        <v>11557.133664283563</v>
      </c>
      <c r="H25" s="183"/>
    </row>
  </sheetData>
  <sheetProtection selectLockedCells="1" selectUnlockedCells="1"/>
  <mergeCells count="6">
    <mergeCell ref="B3:G3"/>
    <mergeCell ref="B6:F6"/>
    <mergeCell ref="B7:G7"/>
    <mergeCell ref="B12:F12"/>
    <mergeCell ref="B14:G14"/>
    <mergeCell ref="B23:F2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3:AM155"/>
  <sheetViews>
    <sheetView zoomScale="90" zoomScaleNormal="90" workbookViewId="0" topLeftCell="A1">
      <selection activeCell="I41" sqref="I41"/>
    </sheetView>
  </sheetViews>
  <sheetFormatPr defaultColWidth="12.57421875" defaultRowHeight="12.75"/>
  <cols>
    <col min="1" max="1" width="11.57421875" style="0" customWidth="1"/>
    <col min="2" max="2" width="38.00390625" style="0" customWidth="1"/>
    <col min="3" max="3" width="17.421875" style="0" customWidth="1"/>
    <col min="4" max="4" width="18.8515625" style="0" customWidth="1"/>
    <col min="5" max="5" width="11.57421875" style="0" customWidth="1"/>
    <col min="6" max="6" width="13.421875" style="0" customWidth="1"/>
    <col min="7" max="7" width="15.00390625" style="0" customWidth="1"/>
    <col min="8" max="8" width="13.57421875" style="0" customWidth="1"/>
    <col min="9" max="9" width="27.28125" style="0" customWidth="1"/>
    <col min="10" max="11" width="11.57421875" style="0" customWidth="1"/>
    <col min="12" max="12" width="38.57421875" style="0" customWidth="1"/>
    <col min="13" max="27" width="11.57421875" style="0" customWidth="1"/>
    <col min="28" max="28" width="15.7109375" style="0" customWidth="1"/>
    <col min="29" max="35" width="11.57421875" style="0" customWidth="1"/>
    <col min="36" max="38" width="15.7109375" style="0" customWidth="1"/>
    <col min="39" max="39" width="33.00390625" style="0" customWidth="1"/>
    <col min="40" max="16384" width="11.57421875" style="0" customWidth="1"/>
  </cols>
  <sheetData>
    <row r="3" spans="2:39" ht="12.75" customHeight="1">
      <c r="B3" s="98" t="s">
        <v>1001</v>
      </c>
      <c r="C3" s="98"/>
      <c r="D3" s="98"/>
      <c r="E3" s="98"/>
      <c r="F3" s="98"/>
      <c r="G3" s="98"/>
      <c r="I3" s="111" t="s">
        <v>533</v>
      </c>
      <c r="J3" s="112" t="s">
        <v>534</v>
      </c>
      <c r="S3" s="52" t="s">
        <v>1002</v>
      </c>
      <c r="T3" s="52"/>
      <c r="U3" s="52"/>
      <c r="V3" s="52"/>
      <c r="W3" s="52"/>
      <c r="X3" s="52"/>
      <c r="Y3" s="52"/>
      <c r="Z3" s="52"/>
      <c r="AA3" s="52"/>
      <c r="AB3" s="52"/>
      <c r="AC3" s="72"/>
      <c r="AD3" s="52" t="s">
        <v>1003</v>
      </c>
      <c r="AE3" s="52"/>
      <c r="AF3" s="52"/>
      <c r="AG3" s="52"/>
      <c r="AH3" s="52"/>
      <c r="AI3" s="52"/>
      <c r="AJ3" s="52"/>
      <c r="AK3" s="52"/>
      <c r="AL3" s="52"/>
      <c r="AM3" s="52"/>
    </row>
    <row r="4" spans="2:39" ht="12.75">
      <c r="B4" s="125" t="s">
        <v>1004</v>
      </c>
      <c r="C4" s="126" t="s">
        <v>685</v>
      </c>
      <c r="D4" s="126" t="s">
        <v>1005</v>
      </c>
      <c r="E4" s="115" t="s">
        <v>588</v>
      </c>
      <c r="F4" s="126" t="s">
        <v>545</v>
      </c>
      <c r="G4" s="152" t="s">
        <v>6</v>
      </c>
      <c r="I4" s="42" t="str">
        <f>B3</f>
        <v>Drywall</v>
      </c>
      <c r="J4" s="56">
        <f>G13</f>
        <v>8824.409905535713</v>
      </c>
      <c r="L4" s="255" t="s">
        <v>185</v>
      </c>
      <c r="M4" s="255"/>
      <c r="N4" s="233"/>
      <c r="O4" s="233" t="s">
        <v>1006</v>
      </c>
      <c r="P4" s="233" t="s">
        <v>1007</v>
      </c>
      <c r="Q4" s="233" t="s">
        <v>1008</v>
      </c>
      <c r="S4" s="108" t="s">
        <v>607</v>
      </c>
      <c r="T4" s="108" t="s">
        <v>1009</v>
      </c>
      <c r="U4" s="108" t="s">
        <v>1010</v>
      </c>
      <c r="V4" s="108" t="s">
        <v>1011</v>
      </c>
      <c r="W4" s="108" t="s">
        <v>1012</v>
      </c>
      <c r="X4" s="108" t="s">
        <v>1013</v>
      </c>
      <c r="Y4" s="108" t="s">
        <v>1014</v>
      </c>
      <c r="Z4" s="108" t="s">
        <v>1015</v>
      </c>
      <c r="AA4" s="108" t="s">
        <v>1016</v>
      </c>
      <c r="AB4" s="108" t="s">
        <v>1017</v>
      </c>
      <c r="AC4" s="72"/>
      <c r="AD4" s="114" t="s">
        <v>607</v>
      </c>
      <c r="AE4" s="72" t="s">
        <v>1009</v>
      </c>
      <c r="AF4" s="72" t="s">
        <v>1010</v>
      </c>
      <c r="AG4" s="72" t="s">
        <v>1018</v>
      </c>
      <c r="AH4" s="72" t="s">
        <v>1019</v>
      </c>
      <c r="AI4" s="72" t="s">
        <v>1020</v>
      </c>
      <c r="AJ4" s="108" t="s">
        <v>1021</v>
      </c>
      <c r="AK4" s="108" t="s">
        <v>1013</v>
      </c>
      <c r="AL4" s="108" t="s">
        <v>1014</v>
      </c>
      <c r="AM4" s="256" t="s">
        <v>1017</v>
      </c>
    </row>
    <row r="5" spans="2:39" ht="12.75">
      <c r="B5" s="114" t="s">
        <v>1022</v>
      </c>
      <c r="C5" s="115">
        <f>96+52+32+16+32+16+32+62+36+36</f>
        <v>410</v>
      </c>
      <c r="D5" s="72">
        <v>8</v>
      </c>
      <c r="E5" s="115">
        <f>C5*D5*1.15</f>
        <v>3771.9999999999995</v>
      </c>
      <c r="F5" s="248">
        <f>Retail_Prices!$H$178</f>
        <v>0.3627195</v>
      </c>
      <c r="G5" s="257">
        <f>F5*E5</f>
        <v>1368.1779539999998</v>
      </c>
      <c r="I5" s="42" t="str">
        <f>B15</f>
        <v>Flooring</v>
      </c>
      <c r="J5" s="56">
        <f>G26</f>
        <v>14296.521504860833</v>
      </c>
      <c r="L5" s="236" t="s">
        <v>186</v>
      </c>
      <c r="M5" s="236" t="s">
        <v>187</v>
      </c>
      <c r="N5" s="233"/>
      <c r="O5" s="233"/>
      <c r="P5" s="233"/>
      <c r="Q5" s="233"/>
      <c r="S5" s="108" t="s">
        <v>974</v>
      </c>
      <c r="T5" s="108" t="s">
        <v>1023</v>
      </c>
      <c r="U5" s="108" t="s">
        <v>1024</v>
      </c>
      <c r="V5" s="108" t="s">
        <v>1025</v>
      </c>
      <c r="W5" s="108" t="s">
        <v>1026</v>
      </c>
      <c r="X5" s="108">
        <v>0.35</v>
      </c>
      <c r="Y5" s="108">
        <v>0.41</v>
      </c>
      <c r="Z5" s="108" t="s">
        <v>1027</v>
      </c>
      <c r="AA5" s="108" t="s">
        <v>1027</v>
      </c>
      <c r="AB5" s="108" t="s">
        <v>1028</v>
      </c>
      <c r="AC5" s="72"/>
      <c r="AD5" s="114">
        <v>1</v>
      </c>
      <c r="AE5" s="72" t="s">
        <v>1029</v>
      </c>
      <c r="AF5" s="72" t="s">
        <v>1026</v>
      </c>
      <c r="AG5" s="72" t="s">
        <v>1030</v>
      </c>
      <c r="AH5" s="72" t="s">
        <v>1031</v>
      </c>
      <c r="AI5" s="72" t="s">
        <v>242</v>
      </c>
      <c r="AJ5" s="108" t="s">
        <v>1032</v>
      </c>
      <c r="AK5" s="108">
        <v>0.35</v>
      </c>
      <c r="AL5" s="108">
        <v>0.41</v>
      </c>
      <c r="AM5" s="256" t="s">
        <v>1033</v>
      </c>
    </row>
    <row r="6" spans="2:39" ht="12.75">
      <c r="B6" s="114" t="s">
        <v>1034</v>
      </c>
      <c r="C6" s="115">
        <f>(484+66)*2</f>
        <v>1100</v>
      </c>
      <c r="D6" s="72">
        <v>8</v>
      </c>
      <c r="E6" s="115">
        <f>C6*D6*1.15</f>
        <v>10120</v>
      </c>
      <c r="F6" s="248">
        <f>Retail_Prices!$H$178</f>
        <v>0.3627195</v>
      </c>
      <c r="G6" s="257">
        <f>F6*E6</f>
        <v>3670.7213399999996</v>
      </c>
      <c r="I6" s="42" t="str">
        <f>B28</f>
        <v>Windows</v>
      </c>
      <c r="J6" s="56">
        <f>G39</f>
        <v>6399.437044</v>
      </c>
      <c r="L6" s="233" t="s">
        <v>193</v>
      </c>
      <c r="M6" s="233">
        <v>324.3</v>
      </c>
      <c r="N6" s="233"/>
      <c r="O6" s="233"/>
      <c r="P6" s="233"/>
      <c r="Q6" s="258">
        <f>M6</f>
        <v>324.3</v>
      </c>
      <c r="S6" s="108" t="s">
        <v>976</v>
      </c>
      <c r="T6" s="108" t="s">
        <v>1035</v>
      </c>
      <c r="U6" s="108" t="s">
        <v>1024</v>
      </c>
      <c r="V6" s="108" t="s">
        <v>1025</v>
      </c>
      <c r="W6" s="108" t="s">
        <v>1026</v>
      </c>
      <c r="X6" s="108">
        <v>0.35</v>
      </c>
      <c r="Y6" s="108">
        <v>0.41</v>
      </c>
      <c r="Z6" s="108" t="s">
        <v>1027</v>
      </c>
      <c r="AA6" s="108" t="s">
        <v>1027</v>
      </c>
      <c r="AB6" s="108" t="s">
        <v>1036</v>
      </c>
      <c r="AC6" s="72"/>
      <c r="AD6" s="114">
        <v>2</v>
      </c>
      <c r="AE6" s="72" t="s">
        <v>1037</v>
      </c>
      <c r="AF6" s="72" t="s">
        <v>1026</v>
      </c>
      <c r="AG6" s="72" t="s">
        <v>1038</v>
      </c>
      <c r="AH6" s="72" t="s">
        <v>1031</v>
      </c>
      <c r="AI6" s="72" t="s">
        <v>242</v>
      </c>
      <c r="AJ6" s="108" t="s">
        <v>1039</v>
      </c>
      <c r="AK6" s="108">
        <v>0.35</v>
      </c>
      <c r="AL6" s="108">
        <v>0.41</v>
      </c>
      <c r="AM6" s="256" t="s">
        <v>1040</v>
      </c>
    </row>
    <row r="7" spans="2:39" ht="12.75">
      <c r="B7" s="114" t="s">
        <v>1041</v>
      </c>
      <c r="C7" s="115"/>
      <c r="D7" s="115"/>
      <c r="E7" s="115">
        <f>36*96+32*16+32*16</f>
        <v>4480</v>
      </c>
      <c r="F7" s="248">
        <f>Retail_Prices!$H$178</f>
        <v>0.3627195</v>
      </c>
      <c r="G7" s="257">
        <f>F7*E7</f>
        <v>1624.98336</v>
      </c>
      <c r="I7" s="42" t="str">
        <f>B41</f>
        <v>Doors</v>
      </c>
      <c r="J7" s="56">
        <f>G66</f>
        <v>13018.856807999997</v>
      </c>
      <c r="L7" s="233" t="s">
        <v>194</v>
      </c>
      <c r="M7" s="233">
        <v>128.9</v>
      </c>
      <c r="N7" s="233"/>
      <c r="O7" s="233"/>
      <c r="P7" s="258">
        <f>M7</f>
        <v>128.9</v>
      </c>
      <c r="Q7" s="233"/>
      <c r="S7" s="108" t="s">
        <v>977</v>
      </c>
      <c r="T7" s="108" t="s">
        <v>1042</v>
      </c>
      <c r="U7" s="108" t="s">
        <v>1043</v>
      </c>
      <c r="V7" s="108" t="s">
        <v>1025</v>
      </c>
      <c r="W7" s="108" t="s">
        <v>1026</v>
      </c>
      <c r="X7" s="108">
        <v>0.35</v>
      </c>
      <c r="Y7" s="108">
        <v>0.41</v>
      </c>
      <c r="Z7" s="108" t="s">
        <v>1027</v>
      </c>
      <c r="AA7" s="108" t="s">
        <v>95</v>
      </c>
      <c r="AB7" s="108" t="s">
        <v>1044</v>
      </c>
      <c r="AC7" s="72"/>
      <c r="AD7" s="114">
        <v>3</v>
      </c>
      <c r="AE7" s="72" t="s">
        <v>1029</v>
      </c>
      <c r="AF7" s="72" t="s">
        <v>1026</v>
      </c>
      <c r="AG7" s="72" t="s">
        <v>1045</v>
      </c>
      <c r="AH7" s="72" t="s">
        <v>1046</v>
      </c>
      <c r="AI7" s="72" t="s">
        <v>242</v>
      </c>
      <c r="AJ7" s="108" t="s">
        <v>1047</v>
      </c>
      <c r="AK7" s="72" t="s">
        <v>242</v>
      </c>
      <c r="AL7" s="72" t="s">
        <v>242</v>
      </c>
      <c r="AM7" s="256" t="s">
        <v>1048</v>
      </c>
    </row>
    <row r="8" spans="2:39" ht="12.75">
      <c r="B8" s="114" t="s">
        <v>1049</v>
      </c>
      <c r="C8" s="115"/>
      <c r="D8" s="72"/>
      <c r="E8" s="115">
        <f>36*30+36*24+18*6</f>
        <v>2052</v>
      </c>
      <c r="F8" s="248">
        <f>Retail_Prices!$H$178</f>
        <v>0.3627195</v>
      </c>
      <c r="G8" s="257">
        <f>F8*E8</f>
        <v>744.3004139999999</v>
      </c>
      <c r="I8" s="42" t="str">
        <f>B68</f>
        <v>Molding</v>
      </c>
      <c r="J8" s="56">
        <f>G79</f>
        <v>918.46351</v>
      </c>
      <c r="L8" s="233" t="s">
        <v>196</v>
      </c>
      <c r="M8" s="233">
        <v>63.1</v>
      </c>
      <c r="N8" s="258">
        <f>M6+M7+M8</f>
        <v>516.3000000000001</v>
      </c>
      <c r="O8" s="233"/>
      <c r="P8" s="233"/>
      <c r="Q8" s="258">
        <f>M8</f>
        <v>63.1</v>
      </c>
      <c r="S8" s="108" t="s">
        <v>978</v>
      </c>
      <c r="T8" s="108" t="s">
        <v>1042</v>
      </c>
      <c r="U8" s="108" t="s">
        <v>1043</v>
      </c>
      <c r="V8" s="108" t="s">
        <v>1025</v>
      </c>
      <c r="W8" s="108" t="s">
        <v>1026</v>
      </c>
      <c r="X8" s="108">
        <v>0.35</v>
      </c>
      <c r="Y8" s="108">
        <v>0.41</v>
      </c>
      <c r="Z8" s="108" t="s">
        <v>1027</v>
      </c>
      <c r="AA8" s="108" t="s">
        <v>95</v>
      </c>
      <c r="AB8" s="108" t="s">
        <v>1044</v>
      </c>
      <c r="AC8" s="72"/>
      <c r="AD8" s="114">
        <v>4</v>
      </c>
      <c r="AE8" s="72" t="s">
        <v>1029</v>
      </c>
      <c r="AF8" s="72" t="s">
        <v>1026</v>
      </c>
      <c r="AG8" s="72" t="s">
        <v>1038</v>
      </c>
      <c r="AH8" s="72" t="s">
        <v>1031</v>
      </c>
      <c r="AI8" s="72" t="s">
        <v>1050</v>
      </c>
      <c r="AJ8" s="108" t="s">
        <v>1047</v>
      </c>
      <c r="AK8" s="72" t="s">
        <v>242</v>
      </c>
      <c r="AL8" s="72" t="s">
        <v>242</v>
      </c>
      <c r="AM8" s="256" t="s">
        <v>1051</v>
      </c>
    </row>
    <row r="9" spans="2:39" ht="12.75">
      <c r="B9" s="114" t="s">
        <v>1052</v>
      </c>
      <c r="C9" s="115"/>
      <c r="D9" s="72"/>
      <c r="E9" s="115">
        <f>(SUM(E5:E8)/32)*18*1.15</f>
        <v>13211.775</v>
      </c>
      <c r="F9" s="248">
        <f>Retail_Prices!$H$188</f>
        <v>0.019431984</v>
      </c>
      <c r="G9" s="257">
        <f>F9*E9</f>
        <v>256.7310004116</v>
      </c>
      <c r="I9" s="42" t="str">
        <f>B81</f>
        <v>Cabinetry / Counter-tops</v>
      </c>
      <c r="J9" s="56">
        <f>G92</f>
        <v>8200</v>
      </c>
      <c r="L9" s="233" t="s">
        <v>198</v>
      </c>
      <c r="M9" s="233">
        <v>401.8</v>
      </c>
      <c r="N9" s="233"/>
      <c r="O9" s="233"/>
      <c r="P9" s="233"/>
      <c r="Q9" s="258">
        <f>M9</f>
        <v>401.8</v>
      </c>
      <c r="S9" s="108" t="s">
        <v>980</v>
      </c>
      <c r="T9" s="108" t="s">
        <v>242</v>
      </c>
      <c r="U9" s="108" t="s">
        <v>242</v>
      </c>
      <c r="V9" s="108" t="s">
        <v>242</v>
      </c>
      <c r="W9" s="108" t="s">
        <v>242</v>
      </c>
      <c r="X9" s="108" t="s">
        <v>242</v>
      </c>
      <c r="Y9" s="108" t="s">
        <v>242</v>
      </c>
      <c r="Z9" s="108" t="s">
        <v>242</v>
      </c>
      <c r="AA9" s="108" t="s">
        <v>242</v>
      </c>
      <c r="AB9" s="108" t="s">
        <v>419</v>
      </c>
      <c r="AC9" s="72"/>
      <c r="AD9" s="114">
        <v>5</v>
      </c>
      <c r="AE9" s="72" t="s">
        <v>1029</v>
      </c>
      <c r="AF9" s="72" t="s">
        <v>1026</v>
      </c>
      <c r="AG9" s="72" t="s">
        <v>1045</v>
      </c>
      <c r="AH9" s="72" t="s">
        <v>1053</v>
      </c>
      <c r="AI9" s="72" t="s">
        <v>242</v>
      </c>
      <c r="AJ9" s="108" t="s">
        <v>1047</v>
      </c>
      <c r="AK9" s="72" t="s">
        <v>242</v>
      </c>
      <c r="AL9" s="72" t="s">
        <v>242</v>
      </c>
      <c r="AM9" s="256" t="s">
        <v>1054</v>
      </c>
    </row>
    <row r="10" spans="2:39" ht="12.75">
      <c r="B10" s="114" t="s">
        <v>1055</v>
      </c>
      <c r="C10" s="115"/>
      <c r="D10" s="72"/>
      <c r="E10" s="115">
        <f>(SUM(E5:E8)/32)*8*1.15</f>
        <v>5871.9</v>
      </c>
      <c r="F10" s="248">
        <f>Retail_Prices!$H$193</f>
        <v>0.008607456</v>
      </c>
      <c r="G10" s="257">
        <f>F10*E10</f>
        <v>50.54212088639999</v>
      </c>
      <c r="I10" s="42" t="str">
        <f>B94</f>
        <v>Sinks Toilets Showers Vanities</v>
      </c>
      <c r="J10" s="56">
        <f>G120</f>
        <v>8455</v>
      </c>
      <c r="L10" s="233" t="s">
        <v>200</v>
      </c>
      <c r="M10" s="233">
        <v>114.6</v>
      </c>
      <c r="N10" s="258">
        <f>M9+M10</f>
        <v>516.4</v>
      </c>
      <c r="O10" s="233"/>
      <c r="P10" s="258">
        <f>M10</f>
        <v>114.6</v>
      </c>
      <c r="Q10" s="233"/>
      <c r="S10" s="108" t="s">
        <v>981</v>
      </c>
      <c r="T10" s="108" t="s">
        <v>1056</v>
      </c>
      <c r="U10" s="108" t="s">
        <v>1024</v>
      </c>
      <c r="V10" s="108" t="s">
        <v>1025</v>
      </c>
      <c r="W10" s="108" t="s">
        <v>1026</v>
      </c>
      <c r="X10" s="108">
        <v>0.35</v>
      </c>
      <c r="Y10" s="108">
        <v>0.41</v>
      </c>
      <c r="Z10" s="108" t="s">
        <v>1027</v>
      </c>
      <c r="AA10" s="108" t="s">
        <v>95</v>
      </c>
      <c r="AB10" s="108" t="s">
        <v>1057</v>
      </c>
      <c r="AC10" s="72"/>
      <c r="AD10" s="114">
        <v>6</v>
      </c>
      <c r="AE10" s="72" t="s">
        <v>1029</v>
      </c>
      <c r="AF10" s="72" t="s">
        <v>1026</v>
      </c>
      <c r="AG10" s="72" t="s">
        <v>1038</v>
      </c>
      <c r="AH10" s="72" t="s">
        <v>1031</v>
      </c>
      <c r="AI10" s="72" t="s">
        <v>1050</v>
      </c>
      <c r="AJ10" s="108" t="s">
        <v>1047</v>
      </c>
      <c r="AK10" s="72" t="s">
        <v>242</v>
      </c>
      <c r="AL10" s="72" t="s">
        <v>242</v>
      </c>
      <c r="AM10" s="256" t="s">
        <v>1051</v>
      </c>
    </row>
    <row r="11" spans="2:39" ht="12.75">
      <c r="B11" s="114" t="s">
        <v>1058</v>
      </c>
      <c r="C11" s="115"/>
      <c r="D11" s="72"/>
      <c r="E11" s="115">
        <f>SUM(E5:E7)*1.15/350</f>
        <v>60.36514285714286</v>
      </c>
      <c r="F11" s="248">
        <f>Retail_Prices!$G$194</f>
        <v>8.09666</v>
      </c>
      <c r="G11" s="257">
        <f>F11*E11</f>
        <v>488.7560375657143</v>
      </c>
      <c r="I11" s="42" t="str">
        <f>B122</f>
        <v>Paint</v>
      </c>
      <c r="J11" s="56">
        <f>G133</f>
        <v>2360.9534519999997</v>
      </c>
      <c r="L11" s="233" t="s">
        <v>202</v>
      </c>
      <c r="M11" s="233">
        <v>200.8</v>
      </c>
      <c r="N11" s="233"/>
      <c r="O11" s="233"/>
      <c r="P11" s="233"/>
      <c r="Q11" s="258">
        <f>M11</f>
        <v>200.8</v>
      </c>
      <c r="S11" s="108" t="s">
        <v>982</v>
      </c>
      <c r="T11" s="108" t="s">
        <v>1024</v>
      </c>
      <c r="U11" s="108" t="s">
        <v>1024</v>
      </c>
      <c r="V11" s="108" t="s">
        <v>1025</v>
      </c>
      <c r="W11" s="108" t="s">
        <v>1026</v>
      </c>
      <c r="X11" s="108">
        <v>0.35</v>
      </c>
      <c r="Y11" s="108">
        <v>0.41</v>
      </c>
      <c r="Z11" s="108" t="s">
        <v>1027</v>
      </c>
      <c r="AA11" s="108" t="s">
        <v>95</v>
      </c>
      <c r="AB11" s="108" t="s">
        <v>1057</v>
      </c>
      <c r="AC11" s="72"/>
      <c r="AD11" s="114">
        <v>7</v>
      </c>
      <c r="AE11" s="72" t="s">
        <v>1029</v>
      </c>
      <c r="AF11" s="72" t="s">
        <v>1026</v>
      </c>
      <c r="AG11" s="72" t="s">
        <v>1045</v>
      </c>
      <c r="AH11" s="72" t="s">
        <v>1053</v>
      </c>
      <c r="AI11" s="72" t="s">
        <v>242</v>
      </c>
      <c r="AJ11" s="108" t="s">
        <v>1047</v>
      </c>
      <c r="AK11" s="72" t="s">
        <v>242</v>
      </c>
      <c r="AL11" s="72" t="s">
        <v>242</v>
      </c>
      <c r="AM11" s="256" t="s">
        <v>1059</v>
      </c>
    </row>
    <row r="12" spans="2:39" ht="12.75">
      <c r="B12" s="114" t="s">
        <v>1060</v>
      </c>
      <c r="C12" s="115"/>
      <c r="D12" s="72"/>
      <c r="E12" s="115">
        <f>SUM(E6:E8)*1.15/250</f>
        <v>76.5992</v>
      </c>
      <c r="F12" s="248">
        <f>Retail_Prices!$G$194</f>
        <v>8.09666</v>
      </c>
      <c r="G12" s="257">
        <f>F12*E12</f>
        <v>620.1976786719999</v>
      </c>
      <c r="I12" s="42" t="str">
        <f>B134</f>
        <v>Misc</v>
      </c>
      <c r="J12" s="56">
        <f>G150</f>
        <v>668.570152</v>
      </c>
      <c r="L12" s="233" t="s">
        <v>204</v>
      </c>
      <c r="M12" s="233">
        <v>269.7</v>
      </c>
      <c r="N12" s="233"/>
      <c r="O12" s="233"/>
      <c r="P12" s="233"/>
      <c r="Q12" s="258">
        <f>M12</f>
        <v>269.7</v>
      </c>
      <c r="S12" s="108" t="s">
        <v>1061</v>
      </c>
      <c r="T12" s="108" t="s">
        <v>1024</v>
      </c>
      <c r="U12" s="108" t="s">
        <v>1024</v>
      </c>
      <c r="V12" s="108" t="s">
        <v>1025</v>
      </c>
      <c r="W12" s="108" t="s">
        <v>1026</v>
      </c>
      <c r="X12" s="108">
        <v>0.35</v>
      </c>
      <c r="Y12" s="108">
        <v>0.41</v>
      </c>
      <c r="Z12" s="108" t="s">
        <v>95</v>
      </c>
      <c r="AA12" s="108" t="s">
        <v>1027</v>
      </c>
      <c r="AB12" s="108" t="s">
        <v>1062</v>
      </c>
      <c r="AC12" s="72"/>
      <c r="AD12" s="114">
        <v>8</v>
      </c>
      <c r="AE12" s="72" t="s">
        <v>1063</v>
      </c>
      <c r="AF12" s="72" t="s">
        <v>1026</v>
      </c>
      <c r="AG12" s="72" t="s">
        <v>1038</v>
      </c>
      <c r="AH12" s="72" t="s">
        <v>1031</v>
      </c>
      <c r="AI12" s="72" t="s">
        <v>242</v>
      </c>
      <c r="AJ12" s="108" t="s">
        <v>1039</v>
      </c>
      <c r="AK12" s="108">
        <v>0.35</v>
      </c>
      <c r="AL12" s="108">
        <v>0.41</v>
      </c>
      <c r="AM12" s="256" t="s">
        <v>1064</v>
      </c>
    </row>
    <row r="13" spans="2:39" ht="12.75">
      <c r="B13" s="175" t="s">
        <v>6</v>
      </c>
      <c r="C13" s="176"/>
      <c r="D13" s="176"/>
      <c r="E13" s="176"/>
      <c r="F13" s="176"/>
      <c r="G13" s="177">
        <f>SUM(G5:G12)</f>
        <v>8824.409905535713</v>
      </c>
      <c r="I13" s="42"/>
      <c r="J13" s="113"/>
      <c r="L13" s="233" t="s">
        <v>206</v>
      </c>
      <c r="M13" s="233">
        <v>216</v>
      </c>
      <c r="N13" s="233"/>
      <c r="O13" s="233"/>
      <c r="P13" s="233"/>
      <c r="Q13" s="258">
        <f>M13</f>
        <v>216</v>
      </c>
      <c r="S13" s="108" t="s">
        <v>1065</v>
      </c>
      <c r="T13" s="108" t="s">
        <v>1024</v>
      </c>
      <c r="U13" s="108" t="s">
        <v>1024</v>
      </c>
      <c r="V13" s="108" t="s">
        <v>1025</v>
      </c>
      <c r="W13" s="108" t="s">
        <v>1026</v>
      </c>
      <c r="X13" s="108">
        <v>0.35</v>
      </c>
      <c r="Y13" s="108">
        <v>0.41</v>
      </c>
      <c r="Z13" s="108" t="s">
        <v>95</v>
      </c>
      <c r="AA13" s="108" t="s">
        <v>1027</v>
      </c>
      <c r="AB13" s="108" t="s">
        <v>1062</v>
      </c>
      <c r="AC13" s="72"/>
      <c r="AD13" s="114">
        <v>9</v>
      </c>
      <c r="AE13" s="72" t="s">
        <v>1029</v>
      </c>
      <c r="AF13" s="72" t="s">
        <v>1026</v>
      </c>
      <c r="AG13" s="72" t="s">
        <v>1045</v>
      </c>
      <c r="AH13" s="72" t="s">
        <v>1053</v>
      </c>
      <c r="AI13" s="72" t="s">
        <v>242</v>
      </c>
      <c r="AJ13" s="108" t="s">
        <v>1047</v>
      </c>
      <c r="AK13" s="72" t="s">
        <v>242</v>
      </c>
      <c r="AL13" s="72" t="s">
        <v>242</v>
      </c>
      <c r="AM13" s="256" t="s">
        <v>1059</v>
      </c>
    </row>
    <row r="14" spans="9:39" ht="12.75">
      <c r="I14" s="42"/>
      <c r="J14" s="113"/>
      <c r="L14" s="233" t="s">
        <v>208</v>
      </c>
      <c r="M14" s="233">
        <v>289.3</v>
      </c>
      <c r="N14" s="233"/>
      <c r="O14" s="258">
        <f>M14</f>
        <v>289.3</v>
      </c>
      <c r="P14" s="233"/>
      <c r="Q14" s="233"/>
      <c r="S14" s="108" t="s">
        <v>1066</v>
      </c>
      <c r="T14" s="108" t="s">
        <v>1024</v>
      </c>
      <c r="U14" s="108" t="s">
        <v>1024</v>
      </c>
      <c r="V14" s="108" t="s">
        <v>1025</v>
      </c>
      <c r="W14" s="108" t="s">
        <v>1026</v>
      </c>
      <c r="X14" s="108">
        <v>0.35</v>
      </c>
      <c r="Y14" s="108">
        <v>0.41</v>
      </c>
      <c r="Z14" s="108" t="s">
        <v>95</v>
      </c>
      <c r="AA14" s="108" t="s">
        <v>1027</v>
      </c>
      <c r="AB14" s="108" t="s">
        <v>1062</v>
      </c>
      <c r="AC14" s="72"/>
      <c r="AD14" s="114">
        <v>10</v>
      </c>
      <c r="AE14" s="72" t="s">
        <v>1067</v>
      </c>
      <c r="AF14" s="72" t="s">
        <v>1068</v>
      </c>
      <c r="AG14" s="72" t="s">
        <v>1038</v>
      </c>
      <c r="AH14" s="72" t="s">
        <v>1069</v>
      </c>
      <c r="AI14" s="72" t="s">
        <v>242</v>
      </c>
      <c r="AJ14" s="108" t="s">
        <v>1070</v>
      </c>
      <c r="AK14" s="72" t="s">
        <v>242</v>
      </c>
      <c r="AL14" s="72" t="s">
        <v>242</v>
      </c>
      <c r="AM14" s="256" t="s">
        <v>1071</v>
      </c>
    </row>
    <row r="15" spans="2:39" ht="12.75" customHeight="1">
      <c r="B15" s="98" t="s">
        <v>1072</v>
      </c>
      <c r="C15" s="98"/>
      <c r="D15" s="98"/>
      <c r="E15" s="98"/>
      <c r="F15" s="98"/>
      <c r="G15" s="98"/>
      <c r="I15" s="123" t="s">
        <v>6</v>
      </c>
      <c r="J15" s="124">
        <f>SUM(J4:J14)</f>
        <v>63142.21237639655</v>
      </c>
      <c r="L15" s="233" t="s">
        <v>210</v>
      </c>
      <c r="M15" s="233">
        <v>137</v>
      </c>
      <c r="N15" s="233"/>
      <c r="O15" s="233"/>
      <c r="P15" s="258">
        <f>M15</f>
        <v>137</v>
      </c>
      <c r="Q15" s="233"/>
      <c r="S15" s="108" t="s">
        <v>1073</v>
      </c>
      <c r="T15" s="108" t="s">
        <v>1024</v>
      </c>
      <c r="U15" s="108" t="s">
        <v>1024</v>
      </c>
      <c r="V15" s="108" t="s">
        <v>1025</v>
      </c>
      <c r="W15" s="108" t="s">
        <v>1026</v>
      </c>
      <c r="X15" s="108">
        <v>0.35</v>
      </c>
      <c r="Y15" s="108">
        <v>0.41</v>
      </c>
      <c r="Z15" s="108" t="s">
        <v>95</v>
      </c>
      <c r="AA15" s="108" t="s">
        <v>1027</v>
      </c>
      <c r="AB15" s="108" t="s">
        <v>1062</v>
      </c>
      <c r="AC15" s="72"/>
      <c r="AD15" s="114">
        <v>11</v>
      </c>
      <c r="AE15" s="72" t="s">
        <v>1074</v>
      </c>
      <c r="AF15" s="72" t="s">
        <v>1068</v>
      </c>
      <c r="AG15" s="72" t="s">
        <v>1038</v>
      </c>
      <c r="AH15" s="72" t="s">
        <v>1069</v>
      </c>
      <c r="AI15" s="72" t="s">
        <v>242</v>
      </c>
      <c r="AJ15" s="108" t="s">
        <v>1070</v>
      </c>
      <c r="AK15" s="72" t="s">
        <v>242</v>
      </c>
      <c r="AL15" s="72" t="s">
        <v>242</v>
      </c>
      <c r="AM15" s="256" t="s">
        <v>1071</v>
      </c>
    </row>
    <row r="16" spans="2:39" ht="12.75">
      <c r="B16" s="125" t="s">
        <v>1072</v>
      </c>
      <c r="C16" s="126"/>
      <c r="D16" s="126"/>
      <c r="E16" s="115" t="s">
        <v>588</v>
      </c>
      <c r="F16" s="126" t="s">
        <v>545</v>
      </c>
      <c r="G16" s="152" t="s">
        <v>6</v>
      </c>
      <c r="L16" s="233" t="s">
        <v>212</v>
      </c>
      <c r="M16" s="233">
        <v>95.2</v>
      </c>
      <c r="N16" s="233"/>
      <c r="O16" s="258">
        <f>M16</f>
        <v>95.2</v>
      </c>
      <c r="P16" s="233"/>
      <c r="Q16" s="233"/>
      <c r="S16" s="108" t="s">
        <v>1075</v>
      </c>
      <c r="T16" s="108" t="s">
        <v>1076</v>
      </c>
      <c r="U16" s="108" t="s">
        <v>1024</v>
      </c>
      <c r="V16" s="108" t="s">
        <v>1025</v>
      </c>
      <c r="W16" s="108" t="s">
        <v>1026</v>
      </c>
      <c r="X16" s="108">
        <v>0.35</v>
      </c>
      <c r="Y16" s="108">
        <v>0.41</v>
      </c>
      <c r="Z16" s="108" t="s">
        <v>1027</v>
      </c>
      <c r="AA16" s="108" t="s">
        <v>1027</v>
      </c>
      <c r="AB16" s="108" t="s">
        <v>1077</v>
      </c>
      <c r="AC16" s="72"/>
      <c r="AD16" s="114">
        <v>12</v>
      </c>
      <c r="AE16" s="72" t="s">
        <v>1078</v>
      </c>
      <c r="AF16" s="72" t="s">
        <v>1026</v>
      </c>
      <c r="AG16" s="72" t="s">
        <v>1045</v>
      </c>
      <c r="AH16" s="72" t="s">
        <v>1046</v>
      </c>
      <c r="AI16" s="72" t="s">
        <v>242</v>
      </c>
      <c r="AJ16" s="108" t="s">
        <v>1047</v>
      </c>
      <c r="AK16" s="72" t="s">
        <v>242</v>
      </c>
      <c r="AL16" s="72" t="s">
        <v>242</v>
      </c>
      <c r="AM16" s="256" t="s">
        <v>1079</v>
      </c>
    </row>
    <row r="17" spans="2:39" ht="12.75">
      <c r="B17" s="114" t="s">
        <v>1080</v>
      </c>
      <c r="C17" s="115"/>
      <c r="D17" s="72"/>
      <c r="E17" s="115">
        <v>2411</v>
      </c>
      <c r="F17" s="117">
        <f>Retail_Prices!$H$183</f>
        <v>3.575572</v>
      </c>
      <c r="G17" s="118">
        <f>E17*F17</f>
        <v>8620.704092</v>
      </c>
      <c r="L17" s="233" t="s">
        <v>214</v>
      </c>
      <c r="M17" s="233">
        <v>81.8</v>
      </c>
      <c r="N17" s="233"/>
      <c r="O17" s="258">
        <f>M17</f>
        <v>81.8</v>
      </c>
      <c r="P17" s="233"/>
      <c r="Q17" s="233"/>
      <c r="S17" s="108" t="s">
        <v>1081</v>
      </c>
      <c r="T17" s="108" t="s">
        <v>1056</v>
      </c>
      <c r="U17" s="108" t="s">
        <v>1024</v>
      </c>
      <c r="V17" s="108" t="s">
        <v>1025</v>
      </c>
      <c r="W17" s="108" t="s">
        <v>1026</v>
      </c>
      <c r="X17" s="108">
        <v>0.35</v>
      </c>
      <c r="Y17" s="108">
        <v>0.41</v>
      </c>
      <c r="Z17" s="108" t="s">
        <v>1027</v>
      </c>
      <c r="AA17" s="108" t="s">
        <v>95</v>
      </c>
      <c r="AB17" s="108" t="s">
        <v>1082</v>
      </c>
      <c r="AC17" s="72"/>
      <c r="AD17" s="114">
        <v>13</v>
      </c>
      <c r="AE17" s="72" t="s">
        <v>1083</v>
      </c>
      <c r="AF17" s="72" t="s">
        <v>1026</v>
      </c>
      <c r="AG17" s="72" t="s">
        <v>1045</v>
      </c>
      <c r="AH17" s="72" t="s">
        <v>1046</v>
      </c>
      <c r="AI17" s="72" t="s">
        <v>242</v>
      </c>
      <c r="AJ17" s="108" t="s">
        <v>1047</v>
      </c>
      <c r="AK17" s="72" t="s">
        <v>242</v>
      </c>
      <c r="AL17" s="72" t="s">
        <v>242</v>
      </c>
      <c r="AM17" s="256" t="s">
        <v>1084</v>
      </c>
    </row>
    <row r="18" spans="2:39" ht="12.75">
      <c r="B18" s="114" t="s">
        <v>1007</v>
      </c>
      <c r="C18" s="115"/>
      <c r="D18" s="72"/>
      <c r="E18" s="115">
        <v>511.9</v>
      </c>
      <c r="F18" s="117">
        <f>Retail_Prices!H184</f>
        <v>3.2604</v>
      </c>
      <c r="G18" s="118">
        <f>E18*F18</f>
        <v>1668.99876</v>
      </c>
      <c r="I18" t="s">
        <v>1085</v>
      </c>
      <c r="L18" s="233"/>
      <c r="M18" s="233"/>
      <c r="N18" s="233"/>
      <c r="O18" s="233"/>
      <c r="P18" s="233"/>
      <c r="Q18" s="233"/>
      <c r="S18" s="108" t="s">
        <v>1086</v>
      </c>
      <c r="T18" s="108" t="s">
        <v>1056</v>
      </c>
      <c r="U18" s="108" t="s">
        <v>1024</v>
      </c>
      <c r="V18" s="108" t="s">
        <v>1025</v>
      </c>
      <c r="W18" s="108" t="s">
        <v>1026</v>
      </c>
      <c r="X18" s="108">
        <v>0.35</v>
      </c>
      <c r="Y18" s="108">
        <v>0.41</v>
      </c>
      <c r="Z18" s="108" t="s">
        <v>1027</v>
      </c>
      <c r="AA18" s="108" t="s">
        <v>95</v>
      </c>
      <c r="AB18" s="108" t="s">
        <v>1082</v>
      </c>
      <c r="AC18" s="72"/>
      <c r="AD18" s="114">
        <v>14</v>
      </c>
      <c r="AE18" s="72" t="s">
        <v>1029</v>
      </c>
      <c r="AF18" s="72" t="s">
        <v>1026</v>
      </c>
      <c r="AG18" s="72" t="s">
        <v>1045</v>
      </c>
      <c r="AH18" s="72" t="s">
        <v>1053</v>
      </c>
      <c r="AI18" s="72" t="s">
        <v>242</v>
      </c>
      <c r="AJ18" s="108" t="s">
        <v>1047</v>
      </c>
      <c r="AK18" s="72" t="s">
        <v>242</v>
      </c>
      <c r="AL18" s="72" t="s">
        <v>242</v>
      </c>
      <c r="AM18" s="256" t="s">
        <v>1059</v>
      </c>
    </row>
    <row r="19" spans="2:39" ht="12.75">
      <c r="B19" s="114" t="s">
        <v>928</v>
      </c>
      <c r="C19" s="115"/>
      <c r="D19" s="115"/>
      <c r="E19" s="115">
        <v>511.9</v>
      </c>
      <c r="F19" s="117">
        <f>Retail_Prices!H185</f>
        <v>0.746156125</v>
      </c>
      <c r="G19" s="118">
        <f>E19*F19</f>
        <v>381.9573203875</v>
      </c>
      <c r="I19" t="s">
        <v>1087</v>
      </c>
      <c r="J19" s="12">
        <f>Flatwork_Calcs!J23+Framing_Calcs!K20+Roof_Calcs!K14+Insulation_Calcs!J10</f>
        <v>14.444198012358513</v>
      </c>
      <c r="L19" s="233"/>
      <c r="M19" s="233"/>
      <c r="N19" s="233"/>
      <c r="O19" s="233"/>
      <c r="P19" s="233"/>
      <c r="Q19" s="233"/>
      <c r="S19" s="108" t="s">
        <v>1088</v>
      </c>
      <c r="T19" s="108" t="s">
        <v>1089</v>
      </c>
      <c r="U19" s="108" t="s">
        <v>1089</v>
      </c>
      <c r="V19" s="108" t="s">
        <v>1025</v>
      </c>
      <c r="W19" s="108" t="s">
        <v>1026</v>
      </c>
      <c r="X19" s="108">
        <v>0.35</v>
      </c>
      <c r="Y19" s="108">
        <v>0.41</v>
      </c>
      <c r="Z19" s="108" t="s">
        <v>1027</v>
      </c>
      <c r="AA19" s="108" t="s">
        <v>95</v>
      </c>
      <c r="AB19" s="108" t="s">
        <v>1090</v>
      </c>
      <c r="AC19" s="72"/>
      <c r="AD19" s="114">
        <v>15</v>
      </c>
      <c r="AE19" s="72" t="s">
        <v>1091</v>
      </c>
      <c r="AF19" s="72" t="s">
        <v>1026</v>
      </c>
      <c r="AG19" s="72" t="s">
        <v>1045</v>
      </c>
      <c r="AH19" s="72" t="s">
        <v>1053</v>
      </c>
      <c r="AI19" s="72" t="s">
        <v>242</v>
      </c>
      <c r="AJ19" s="108" t="s">
        <v>1047</v>
      </c>
      <c r="AK19" s="72" t="s">
        <v>242</v>
      </c>
      <c r="AL19" s="72" t="s">
        <v>242</v>
      </c>
      <c r="AM19" s="256" t="s">
        <v>1092</v>
      </c>
    </row>
    <row r="20" spans="2:39" ht="12.75">
      <c r="B20" s="114" t="s">
        <v>1093</v>
      </c>
      <c r="C20" s="115"/>
      <c r="D20" s="72"/>
      <c r="E20" s="115">
        <v>511.9</v>
      </c>
      <c r="F20" s="248">
        <f>Retail_Prices!H186</f>
        <v>0.15725996</v>
      </c>
      <c r="G20" s="118">
        <f>E20*F20</f>
        <v>80.501373524</v>
      </c>
      <c r="J20" s="12">
        <f>(512+512)*J19</f>
        <v>14790.858764655117</v>
      </c>
      <c r="L20" s="233" t="s">
        <v>218</v>
      </c>
      <c r="M20" s="233">
        <v>513.7</v>
      </c>
      <c r="N20" s="233"/>
      <c r="O20" s="258">
        <f>M20</f>
        <v>513.7</v>
      </c>
      <c r="P20" s="233"/>
      <c r="Q20" s="233"/>
      <c r="S20" s="108" t="s">
        <v>1094</v>
      </c>
      <c r="T20" s="108" t="s">
        <v>1024</v>
      </c>
      <c r="U20" s="108" t="s">
        <v>1024</v>
      </c>
      <c r="V20" s="108" t="s">
        <v>1025</v>
      </c>
      <c r="W20" s="108" t="s">
        <v>1026</v>
      </c>
      <c r="X20" s="108">
        <v>0.35</v>
      </c>
      <c r="Y20" s="108">
        <v>0.41</v>
      </c>
      <c r="Z20" s="108" t="s">
        <v>1027</v>
      </c>
      <c r="AA20" s="108" t="s">
        <v>1027</v>
      </c>
      <c r="AB20" s="108" t="s">
        <v>1095</v>
      </c>
      <c r="AC20" s="72"/>
      <c r="AD20" s="114">
        <v>16</v>
      </c>
      <c r="AE20" s="72" t="s">
        <v>1029</v>
      </c>
      <c r="AF20" s="72" t="s">
        <v>1026</v>
      </c>
      <c r="AG20" s="72" t="s">
        <v>1045</v>
      </c>
      <c r="AH20" s="72" t="s">
        <v>1053</v>
      </c>
      <c r="AI20" s="72" t="s">
        <v>242</v>
      </c>
      <c r="AJ20" s="108" t="s">
        <v>1047</v>
      </c>
      <c r="AK20" s="72" t="s">
        <v>242</v>
      </c>
      <c r="AL20" s="72" t="s">
        <v>242</v>
      </c>
      <c r="AM20" s="256" t="s">
        <v>1054</v>
      </c>
    </row>
    <row r="21" spans="2:39" ht="12.75">
      <c r="B21" s="114" t="s">
        <v>1096</v>
      </c>
      <c r="C21" s="115"/>
      <c r="D21" s="72"/>
      <c r="E21" s="115">
        <v>511.9</v>
      </c>
      <c r="F21" s="248">
        <f>Retail_Prices!H187</f>
        <v>0.07223597333333334</v>
      </c>
      <c r="G21" s="118">
        <f>E21*F21</f>
        <v>36.977594749333335</v>
      </c>
      <c r="L21" s="233" t="s">
        <v>219</v>
      </c>
      <c r="M21" s="233">
        <v>273.2</v>
      </c>
      <c r="N21" s="233"/>
      <c r="O21" s="258">
        <f>M21</f>
        <v>273.2</v>
      </c>
      <c r="P21" s="233"/>
      <c r="Q21" s="233"/>
      <c r="S21" s="108" t="s">
        <v>1097</v>
      </c>
      <c r="T21" s="108" t="s">
        <v>1024</v>
      </c>
      <c r="U21" s="108" t="s">
        <v>1024</v>
      </c>
      <c r="V21" s="108" t="s">
        <v>1025</v>
      </c>
      <c r="W21" s="108" t="s">
        <v>1026</v>
      </c>
      <c r="X21" s="108">
        <v>0.35</v>
      </c>
      <c r="Y21" s="108">
        <v>0.41</v>
      </c>
      <c r="Z21" s="108" t="s">
        <v>1027</v>
      </c>
      <c r="AA21" s="108" t="s">
        <v>1027</v>
      </c>
      <c r="AB21" s="108" t="s">
        <v>1098</v>
      </c>
      <c r="AC21" s="72"/>
      <c r="AD21" s="114">
        <v>17</v>
      </c>
      <c r="AE21" s="72" t="s">
        <v>1099</v>
      </c>
      <c r="AF21" s="72" t="s">
        <v>1026</v>
      </c>
      <c r="AG21" s="72" t="s">
        <v>1045</v>
      </c>
      <c r="AH21" s="72" t="s">
        <v>1046</v>
      </c>
      <c r="AI21" s="72" t="s">
        <v>242</v>
      </c>
      <c r="AJ21" s="108" t="s">
        <v>1047</v>
      </c>
      <c r="AK21" s="72" t="s">
        <v>242</v>
      </c>
      <c r="AL21" s="72" t="s">
        <v>242</v>
      </c>
      <c r="AM21" s="256" t="s">
        <v>1100</v>
      </c>
    </row>
    <row r="22" spans="2:39" ht="12.75">
      <c r="B22" s="114" t="s">
        <v>1008</v>
      </c>
      <c r="C22" s="115"/>
      <c r="D22" s="115"/>
      <c r="E22" s="115">
        <v>1475.7</v>
      </c>
      <c r="F22" s="117">
        <f>Retail_Prices!H190</f>
        <v>1.3911040000000001</v>
      </c>
      <c r="G22" s="118">
        <f>E22*F22</f>
        <v>2052.8521728</v>
      </c>
      <c r="L22" s="233" t="s">
        <v>220</v>
      </c>
      <c r="M22" s="233">
        <v>249.5</v>
      </c>
      <c r="N22" s="233"/>
      <c r="O22" s="258">
        <f>M22</f>
        <v>249.5</v>
      </c>
      <c r="P22" s="233"/>
      <c r="Q22" s="233"/>
      <c r="S22" s="108" t="s">
        <v>1101</v>
      </c>
      <c r="T22" s="108" t="s">
        <v>1089</v>
      </c>
      <c r="U22" s="108" t="s">
        <v>1024</v>
      </c>
      <c r="V22" s="108" t="s">
        <v>1025</v>
      </c>
      <c r="W22" s="108" t="s">
        <v>1026</v>
      </c>
      <c r="X22" s="108">
        <v>0.35</v>
      </c>
      <c r="Y22" s="108">
        <v>0.41</v>
      </c>
      <c r="Z22" s="108" t="s">
        <v>1027</v>
      </c>
      <c r="AA22" s="108" t="s">
        <v>95</v>
      </c>
      <c r="AB22" s="108" t="s">
        <v>1057</v>
      </c>
      <c r="AC22" s="72"/>
      <c r="AD22" s="114">
        <v>18</v>
      </c>
      <c r="AE22" s="72" t="s">
        <v>1102</v>
      </c>
      <c r="AF22" s="72" t="s">
        <v>1026</v>
      </c>
      <c r="AG22" s="72" t="s">
        <v>1045</v>
      </c>
      <c r="AH22" s="72" t="s">
        <v>1053</v>
      </c>
      <c r="AI22" s="72" t="s">
        <v>242</v>
      </c>
      <c r="AJ22" s="108" t="s">
        <v>1047</v>
      </c>
      <c r="AK22" s="72" t="s">
        <v>242</v>
      </c>
      <c r="AL22" s="72" t="s">
        <v>242</v>
      </c>
      <c r="AM22" s="256" t="s">
        <v>1103</v>
      </c>
    </row>
    <row r="23" spans="2:39" ht="12.75">
      <c r="B23" s="114" t="s">
        <v>1104</v>
      </c>
      <c r="C23" s="72"/>
      <c r="D23" s="72"/>
      <c r="E23" s="115">
        <v>1475.7</v>
      </c>
      <c r="F23" s="248">
        <f>Retail_Prices!$H$191</f>
        <v>0.967252</v>
      </c>
      <c r="G23" s="118">
        <f>E23*F23</f>
        <v>1427.3737764</v>
      </c>
      <c r="L23" s="233" t="s">
        <v>221</v>
      </c>
      <c r="M23" s="233">
        <v>129.7</v>
      </c>
      <c r="N23" s="233"/>
      <c r="O23" s="258">
        <f>M23</f>
        <v>129.7</v>
      </c>
      <c r="P23" s="233"/>
      <c r="Q23" s="233"/>
      <c r="S23" s="108" t="s">
        <v>1105</v>
      </c>
      <c r="T23" s="108" t="s">
        <v>1089</v>
      </c>
      <c r="U23" s="108" t="s">
        <v>1089</v>
      </c>
      <c r="V23" s="108" t="s">
        <v>1025</v>
      </c>
      <c r="W23" s="108" t="s">
        <v>1106</v>
      </c>
      <c r="X23" s="108">
        <v>0.35</v>
      </c>
      <c r="Y23" s="108">
        <v>0.41</v>
      </c>
      <c r="Z23" s="108" t="s">
        <v>1027</v>
      </c>
      <c r="AA23" s="108" t="s">
        <v>1027</v>
      </c>
      <c r="AB23" s="108" t="s">
        <v>1107</v>
      </c>
      <c r="AC23" s="72"/>
      <c r="AD23" s="114">
        <v>19</v>
      </c>
      <c r="AE23" s="72" t="s">
        <v>1099</v>
      </c>
      <c r="AF23" s="72" t="s">
        <v>1026</v>
      </c>
      <c r="AG23" s="72" t="s">
        <v>1045</v>
      </c>
      <c r="AH23" s="72" t="s">
        <v>1046</v>
      </c>
      <c r="AI23" s="72" t="s">
        <v>242</v>
      </c>
      <c r="AJ23" s="108" t="s">
        <v>1047</v>
      </c>
      <c r="AK23" s="72" t="s">
        <v>242</v>
      </c>
      <c r="AL23" s="72" t="s">
        <v>242</v>
      </c>
      <c r="AM23" s="256" t="s">
        <v>1100</v>
      </c>
    </row>
    <row r="24" spans="2:39" ht="12.75">
      <c r="B24" s="114" t="s">
        <v>1108</v>
      </c>
      <c r="C24" s="72"/>
      <c r="D24" s="72"/>
      <c r="E24" s="115">
        <v>500</v>
      </c>
      <c r="F24" s="248">
        <f>Retail_Prices!H192</f>
        <v>0.05431283</v>
      </c>
      <c r="G24" s="118">
        <f>E24*F24</f>
        <v>27.156415</v>
      </c>
      <c r="L24" s="233" t="s">
        <v>223</v>
      </c>
      <c r="M24" s="233">
        <v>69.7</v>
      </c>
      <c r="N24" s="233"/>
      <c r="O24" s="233"/>
      <c r="P24" s="258">
        <f>M24</f>
        <v>69.7</v>
      </c>
      <c r="Q24" s="233"/>
      <c r="S24" s="108" t="s">
        <v>1109</v>
      </c>
      <c r="T24" s="108" t="s">
        <v>1089</v>
      </c>
      <c r="U24" s="108" t="s">
        <v>1089</v>
      </c>
      <c r="V24" s="108" t="s">
        <v>1025</v>
      </c>
      <c r="W24" s="108" t="s">
        <v>1106</v>
      </c>
      <c r="X24" s="108">
        <v>0.35</v>
      </c>
      <c r="Y24" s="108">
        <v>0.41</v>
      </c>
      <c r="Z24" s="108" t="s">
        <v>1027</v>
      </c>
      <c r="AA24" s="108" t="s">
        <v>1027</v>
      </c>
      <c r="AB24" s="108" t="s">
        <v>1107</v>
      </c>
      <c r="AC24" s="72"/>
      <c r="AD24" s="114">
        <v>20</v>
      </c>
      <c r="AE24" s="72" t="s">
        <v>1029</v>
      </c>
      <c r="AF24" s="72" t="s">
        <v>1026</v>
      </c>
      <c r="AG24" s="72" t="s">
        <v>1045</v>
      </c>
      <c r="AH24" s="72" t="s">
        <v>1053</v>
      </c>
      <c r="AI24" s="72" t="s">
        <v>242</v>
      </c>
      <c r="AJ24" s="108" t="s">
        <v>1047</v>
      </c>
      <c r="AK24" s="72" t="s">
        <v>242</v>
      </c>
      <c r="AL24" s="72" t="s">
        <v>242</v>
      </c>
      <c r="AM24" s="256" t="s">
        <v>1059</v>
      </c>
    </row>
    <row r="25" spans="2:39" ht="12.75">
      <c r="B25" s="114"/>
      <c r="C25" s="72"/>
      <c r="D25" s="72"/>
      <c r="E25" s="72"/>
      <c r="F25" s="72"/>
      <c r="G25" s="259"/>
      <c r="L25" s="233" t="s">
        <v>225</v>
      </c>
      <c r="M25" s="233">
        <v>61.7</v>
      </c>
      <c r="N25" s="233"/>
      <c r="O25" s="233"/>
      <c r="P25" s="258">
        <f>M25</f>
        <v>61.7</v>
      </c>
      <c r="Q25" s="233"/>
      <c r="S25" s="108" t="s">
        <v>1110</v>
      </c>
      <c r="T25" s="108" t="s">
        <v>1089</v>
      </c>
      <c r="U25" s="108" t="s">
        <v>1089</v>
      </c>
      <c r="V25" s="108" t="s">
        <v>1025</v>
      </c>
      <c r="W25" s="108" t="s">
        <v>1111</v>
      </c>
      <c r="X25" s="108">
        <v>0.35</v>
      </c>
      <c r="Y25" s="108">
        <v>0.41</v>
      </c>
      <c r="Z25" s="108" t="s">
        <v>1027</v>
      </c>
      <c r="AA25" s="108" t="s">
        <v>1027</v>
      </c>
      <c r="AB25" s="108" t="s">
        <v>1107</v>
      </c>
      <c r="AC25" s="72"/>
      <c r="AD25" s="114">
        <v>21</v>
      </c>
      <c r="AE25" s="72" t="s">
        <v>1029</v>
      </c>
      <c r="AF25" s="72" t="s">
        <v>1026</v>
      </c>
      <c r="AG25" s="72" t="s">
        <v>1045</v>
      </c>
      <c r="AH25" s="72" t="s">
        <v>1053</v>
      </c>
      <c r="AI25" s="72" t="s">
        <v>242</v>
      </c>
      <c r="AJ25" s="108" t="s">
        <v>1047</v>
      </c>
      <c r="AK25" s="72" t="s">
        <v>242</v>
      </c>
      <c r="AL25" s="72" t="s">
        <v>242</v>
      </c>
      <c r="AM25" s="256" t="s">
        <v>1059</v>
      </c>
    </row>
    <row r="26" spans="2:39" ht="12.75">
      <c r="B26" s="175" t="s">
        <v>6</v>
      </c>
      <c r="C26" s="176"/>
      <c r="D26" s="176"/>
      <c r="E26" s="176"/>
      <c r="F26" s="176"/>
      <c r="G26" s="177">
        <f>SUM(G17:G25)</f>
        <v>14296.521504860833</v>
      </c>
      <c r="L26" s="236" t="s">
        <v>227</v>
      </c>
      <c r="M26" s="258">
        <f>SUM(M6:M25)</f>
        <v>3619.9999999999995</v>
      </c>
      <c r="N26" s="233"/>
      <c r="O26" s="233"/>
      <c r="P26" s="233"/>
      <c r="Q26" s="233"/>
      <c r="S26" s="108" t="s">
        <v>1112</v>
      </c>
      <c r="T26" s="108" t="s">
        <v>1089</v>
      </c>
      <c r="U26" s="108" t="s">
        <v>1089</v>
      </c>
      <c r="V26" s="108" t="s">
        <v>1025</v>
      </c>
      <c r="W26" s="108" t="s">
        <v>1106</v>
      </c>
      <c r="X26" s="108">
        <v>0.35</v>
      </c>
      <c r="Y26" s="108">
        <v>0.41</v>
      </c>
      <c r="Z26" s="108" t="s">
        <v>1027</v>
      </c>
      <c r="AA26" s="108" t="s">
        <v>1027</v>
      </c>
      <c r="AB26" s="108" t="s">
        <v>1107</v>
      </c>
      <c r="AC26" s="72"/>
      <c r="AD26" s="114">
        <v>22</v>
      </c>
      <c r="AE26" s="72" t="s">
        <v>1099</v>
      </c>
      <c r="AF26" s="72" t="s">
        <v>1026</v>
      </c>
      <c r="AG26" s="72" t="s">
        <v>1045</v>
      </c>
      <c r="AH26" s="72" t="s">
        <v>1046</v>
      </c>
      <c r="AI26" s="72" t="s">
        <v>242</v>
      </c>
      <c r="AJ26" s="108" t="s">
        <v>1047</v>
      </c>
      <c r="AK26" s="72" t="s">
        <v>242</v>
      </c>
      <c r="AL26" s="72" t="s">
        <v>242</v>
      </c>
      <c r="AM26" s="256" t="s">
        <v>1100</v>
      </c>
    </row>
    <row r="27" spans="2:39" ht="12.75">
      <c r="B27" s="115"/>
      <c r="C27" s="115"/>
      <c r="D27" s="72"/>
      <c r="E27" s="115"/>
      <c r="F27" s="72"/>
      <c r="G27" s="115"/>
      <c r="L27" s="233"/>
      <c r="M27" s="233"/>
      <c r="N27" s="233"/>
      <c r="O27" s="233"/>
      <c r="P27" s="233"/>
      <c r="Q27" s="233"/>
      <c r="S27" s="108" t="s">
        <v>1113</v>
      </c>
      <c r="T27" s="108" t="s">
        <v>1089</v>
      </c>
      <c r="U27" s="108" t="s">
        <v>1089</v>
      </c>
      <c r="V27" s="108" t="s">
        <v>1025</v>
      </c>
      <c r="W27" s="108" t="s">
        <v>1106</v>
      </c>
      <c r="X27" s="108">
        <v>0.35</v>
      </c>
      <c r="Y27" s="108">
        <v>0.41</v>
      </c>
      <c r="Z27" s="108" t="s">
        <v>1027</v>
      </c>
      <c r="AA27" s="108" t="s">
        <v>1027</v>
      </c>
      <c r="AB27" s="108" t="s">
        <v>1107</v>
      </c>
      <c r="AC27" s="72"/>
      <c r="AD27" s="114">
        <v>23</v>
      </c>
      <c r="AE27" s="72" t="s">
        <v>1029</v>
      </c>
      <c r="AF27" s="72" t="s">
        <v>1026</v>
      </c>
      <c r="AG27" s="72" t="s">
        <v>1045</v>
      </c>
      <c r="AH27" s="72" t="s">
        <v>1031</v>
      </c>
      <c r="AI27" s="72" t="s">
        <v>1050</v>
      </c>
      <c r="AJ27" s="108" t="s">
        <v>1047</v>
      </c>
      <c r="AK27" s="72" t="s">
        <v>242</v>
      </c>
      <c r="AL27" s="72" t="s">
        <v>242</v>
      </c>
      <c r="AM27" s="256" t="s">
        <v>1051</v>
      </c>
    </row>
    <row r="28" spans="2:39" ht="12.75" customHeight="1">
      <c r="B28" s="98" t="s">
        <v>22</v>
      </c>
      <c r="C28" s="98"/>
      <c r="D28" s="98"/>
      <c r="E28" s="98"/>
      <c r="F28" s="98"/>
      <c r="G28" s="98"/>
      <c r="L28" s="233" t="s">
        <v>229</v>
      </c>
      <c r="M28" s="233">
        <v>459</v>
      </c>
      <c r="N28" s="233"/>
      <c r="O28" s="258">
        <v>778.6</v>
      </c>
      <c r="P28" s="233"/>
      <c r="Q28" s="233"/>
      <c r="S28" s="108" t="s">
        <v>1114</v>
      </c>
      <c r="T28" s="108" t="s">
        <v>1089</v>
      </c>
      <c r="U28" s="108" t="s">
        <v>1089</v>
      </c>
      <c r="V28" s="108" t="s">
        <v>1025</v>
      </c>
      <c r="W28" s="108" t="s">
        <v>1111</v>
      </c>
      <c r="X28" s="108">
        <v>0.35</v>
      </c>
      <c r="Y28" s="108">
        <v>0.41</v>
      </c>
      <c r="Z28" s="108" t="s">
        <v>1027</v>
      </c>
      <c r="AA28" s="108" t="s">
        <v>1027</v>
      </c>
      <c r="AB28" s="108" t="s">
        <v>1107</v>
      </c>
      <c r="AC28" s="72"/>
      <c r="AD28" s="114">
        <v>24</v>
      </c>
      <c r="AE28" s="72" t="s">
        <v>1115</v>
      </c>
      <c r="AF28" s="72" t="s">
        <v>1026</v>
      </c>
      <c r="AG28" s="72" t="s">
        <v>1045</v>
      </c>
      <c r="AH28" s="72" t="s">
        <v>1046</v>
      </c>
      <c r="AI28" s="72" t="s">
        <v>242</v>
      </c>
      <c r="AJ28" s="108" t="s">
        <v>1047</v>
      </c>
      <c r="AK28" s="72" t="s">
        <v>242</v>
      </c>
      <c r="AL28" s="72" t="s">
        <v>242</v>
      </c>
      <c r="AM28" s="256" t="s">
        <v>1116</v>
      </c>
    </row>
    <row r="29" spans="2:39" ht="12.75">
      <c r="B29" s="125" t="s">
        <v>1117</v>
      </c>
      <c r="C29" s="126" t="s">
        <v>543</v>
      </c>
      <c r="D29" s="126" t="s">
        <v>1118</v>
      </c>
      <c r="E29" s="115" t="s">
        <v>607</v>
      </c>
      <c r="F29" s="126" t="s">
        <v>1119</v>
      </c>
      <c r="G29" s="152" t="s">
        <v>6</v>
      </c>
      <c r="L29" s="233" t="s">
        <v>230</v>
      </c>
      <c r="M29" s="233">
        <v>501.2</v>
      </c>
      <c r="N29" s="233"/>
      <c r="O29" s="258"/>
      <c r="P29" s="233"/>
      <c r="Q29" s="233"/>
      <c r="S29" s="108" t="s">
        <v>1120</v>
      </c>
      <c r="T29" s="108" t="s">
        <v>1089</v>
      </c>
      <c r="U29" s="108" t="s">
        <v>1089</v>
      </c>
      <c r="V29" s="108" t="s">
        <v>1025</v>
      </c>
      <c r="W29" s="108" t="s">
        <v>1111</v>
      </c>
      <c r="X29" s="108">
        <v>0.35</v>
      </c>
      <c r="Y29" s="108">
        <v>0.41</v>
      </c>
      <c r="Z29" s="108" t="s">
        <v>1027</v>
      </c>
      <c r="AA29" s="108" t="s">
        <v>1027</v>
      </c>
      <c r="AB29" s="108" t="s">
        <v>1121</v>
      </c>
      <c r="AC29" s="72"/>
      <c r="AD29" s="114">
        <v>25</v>
      </c>
      <c r="AE29" s="72" t="s">
        <v>1029</v>
      </c>
      <c r="AF29" s="72" t="s">
        <v>1026</v>
      </c>
      <c r="AG29" s="72" t="s">
        <v>1045</v>
      </c>
      <c r="AH29" s="72" t="s">
        <v>1046</v>
      </c>
      <c r="AI29" s="72" t="s">
        <v>242</v>
      </c>
      <c r="AJ29" s="108" t="s">
        <v>1047</v>
      </c>
      <c r="AK29" s="72" t="s">
        <v>242</v>
      </c>
      <c r="AL29" s="72" t="s">
        <v>242</v>
      </c>
      <c r="AM29" s="256" t="s">
        <v>1122</v>
      </c>
    </row>
    <row r="30" spans="2:39" ht="12.75">
      <c r="B30" s="260" t="s">
        <v>1123</v>
      </c>
      <c r="C30" s="261" t="s">
        <v>1124</v>
      </c>
      <c r="D30" s="261" t="s">
        <v>1125</v>
      </c>
      <c r="E30" s="262">
        <v>3</v>
      </c>
      <c r="F30" s="248">
        <f>Retail_Prices!H128</f>
        <v>499.98234</v>
      </c>
      <c r="G30" s="118">
        <f>E30*F30</f>
        <v>1499.94702</v>
      </c>
      <c r="L30" s="233" t="s">
        <v>232</v>
      </c>
      <c r="M30" s="233">
        <v>646.3</v>
      </c>
      <c r="N30" s="233"/>
      <c r="O30" s="258"/>
      <c r="P30" s="233"/>
      <c r="Q30" s="233"/>
      <c r="S30" s="108" t="s">
        <v>1126</v>
      </c>
      <c r="T30" s="108" t="s">
        <v>1089</v>
      </c>
      <c r="U30" s="108" t="s">
        <v>1089</v>
      </c>
      <c r="V30" s="108" t="s">
        <v>1025</v>
      </c>
      <c r="W30" s="108" t="s">
        <v>1111</v>
      </c>
      <c r="X30" s="108">
        <v>0.35</v>
      </c>
      <c r="Y30" s="108">
        <v>0.41</v>
      </c>
      <c r="Z30" s="108" t="s">
        <v>1027</v>
      </c>
      <c r="AA30" s="108" t="s">
        <v>1027</v>
      </c>
      <c r="AB30" s="108" t="s">
        <v>1121</v>
      </c>
      <c r="AC30" s="72"/>
      <c r="AD30" s="114">
        <v>26</v>
      </c>
      <c r="AE30" s="72" t="s">
        <v>1127</v>
      </c>
      <c r="AF30" s="72" t="s">
        <v>1026</v>
      </c>
      <c r="AG30" s="72" t="s">
        <v>1045</v>
      </c>
      <c r="AH30" s="72" t="s">
        <v>1046</v>
      </c>
      <c r="AI30" s="72" t="s">
        <v>242</v>
      </c>
      <c r="AJ30" s="108" t="s">
        <v>1047</v>
      </c>
      <c r="AK30" s="72" t="s">
        <v>242</v>
      </c>
      <c r="AL30" s="72" t="s">
        <v>242</v>
      </c>
      <c r="AM30" s="256" t="s">
        <v>1054</v>
      </c>
    </row>
    <row r="31" spans="2:39" ht="12.75">
      <c r="B31" s="260" t="s">
        <v>1128</v>
      </c>
      <c r="C31" s="261" t="s">
        <v>1129</v>
      </c>
      <c r="D31" s="261" t="s">
        <v>1130</v>
      </c>
      <c r="E31" s="262">
        <v>3</v>
      </c>
      <c r="F31" s="248">
        <f>Retail_Prices!H130</f>
        <v>321.37762799999996</v>
      </c>
      <c r="G31" s="118">
        <f>E31*F31</f>
        <v>964.1328839999999</v>
      </c>
      <c r="K31" s="22">
        <f>M29+M30</f>
        <v>1147.5</v>
      </c>
      <c r="L31" s="236" t="s">
        <v>233</v>
      </c>
      <c r="M31" s="258">
        <f>SUM(M28:M30)</f>
        <v>1606.5</v>
      </c>
      <c r="N31" s="233"/>
      <c r="O31" s="233"/>
      <c r="P31" s="233"/>
      <c r="Q31" s="233"/>
      <c r="S31" s="108" t="s">
        <v>1131</v>
      </c>
      <c r="T31" s="108" t="s">
        <v>1024</v>
      </c>
      <c r="U31" s="108" t="s">
        <v>1024</v>
      </c>
      <c r="V31" s="108" t="s">
        <v>1025</v>
      </c>
      <c r="W31" s="108" t="s">
        <v>1111</v>
      </c>
      <c r="X31" s="108">
        <v>0.35</v>
      </c>
      <c r="Y31" s="108">
        <v>0.41</v>
      </c>
      <c r="Z31" s="108" t="s">
        <v>1027</v>
      </c>
      <c r="AA31" s="108" t="s">
        <v>1027</v>
      </c>
      <c r="AB31" s="108" t="s">
        <v>1132</v>
      </c>
      <c r="AC31" s="72"/>
      <c r="AD31" s="114">
        <v>27</v>
      </c>
      <c r="AE31" s="72" t="s">
        <v>1078</v>
      </c>
      <c r="AF31" s="72" t="s">
        <v>1026</v>
      </c>
      <c r="AG31" s="72" t="s">
        <v>1045</v>
      </c>
      <c r="AH31" s="72" t="s">
        <v>1046</v>
      </c>
      <c r="AI31" s="72" t="s">
        <v>242</v>
      </c>
      <c r="AJ31" s="108" t="s">
        <v>1047</v>
      </c>
      <c r="AK31" s="72" t="s">
        <v>242</v>
      </c>
      <c r="AL31" s="72" t="s">
        <v>242</v>
      </c>
      <c r="AM31" s="256" t="s">
        <v>1054</v>
      </c>
    </row>
    <row r="32" spans="2:39" ht="12.75">
      <c r="B32" s="260" t="s">
        <v>1133</v>
      </c>
      <c r="C32" s="261" t="s">
        <v>1129</v>
      </c>
      <c r="D32" s="261" t="s">
        <v>1130</v>
      </c>
      <c r="E32" s="262">
        <v>3</v>
      </c>
      <c r="F32" s="248">
        <f>Retail_Prices!H130</f>
        <v>321.37762799999996</v>
      </c>
      <c r="G32" s="118">
        <f>E32*F32</f>
        <v>964.1328839999999</v>
      </c>
      <c r="L32" s="233"/>
      <c r="M32" s="233"/>
      <c r="N32" s="233"/>
      <c r="O32" s="233"/>
      <c r="P32" s="233"/>
      <c r="Q32" s="233"/>
      <c r="S32" s="108" t="s">
        <v>1134</v>
      </c>
      <c r="T32" s="108" t="s">
        <v>1024</v>
      </c>
      <c r="U32" s="108" t="s">
        <v>1024</v>
      </c>
      <c r="V32" s="108" t="s">
        <v>1025</v>
      </c>
      <c r="W32" s="108" t="s">
        <v>1111</v>
      </c>
      <c r="X32" s="108">
        <v>0.35</v>
      </c>
      <c r="Y32" s="108">
        <v>0.41</v>
      </c>
      <c r="Z32" s="108" t="s">
        <v>1027</v>
      </c>
      <c r="AA32" s="108" t="s">
        <v>1027</v>
      </c>
      <c r="AB32" s="108" t="s">
        <v>1132</v>
      </c>
      <c r="AC32" s="72"/>
      <c r="AD32" s="114">
        <v>28</v>
      </c>
      <c r="AE32" s="72" t="s">
        <v>1029</v>
      </c>
      <c r="AF32" s="72" t="s">
        <v>1026</v>
      </c>
      <c r="AG32" s="72" t="s">
        <v>1038</v>
      </c>
      <c r="AH32" s="72" t="s">
        <v>1031</v>
      </c>
      <c r="AI32" s="72" t="s">
        <v>242</v>
      </c>
      <c r="AJ32" s="108" t="s">
        <v>1047</v>
      </c>
      <c r="AK32" s="72">
        <v>0.35</v>
      </c>
      <c r="AL32" s="72" t="s">
        <v>242</v>
      </c>
      <c r="AM32" s="256" t="s">
        <v>1135</v>
      </c>
    </row>
    <row r="33" spans="2:39" ht="12.75">
      <c r="B33" s="260" t="s">
        <v>1136</v>
      </c>
      <c r="C33" s="261" t="s">
        <v>1137</v>
      </c>
      <c r="D33" s="261" t="s">
        <v>1138</v>
      </c>
      <c r="E33" s="262">
        <v>1</v>
      </c>
      <c r="F33" s="248">
        <f>Retail_Prices!H131</f>
        <v>286.27398800000003</v>
      </c>
      <c r="G33" s="118">
        <f>E33*F33</f>
        <v>286.27398800000003</v>
      </c>
      <c r="L33" s="236" t="s">
        <v>234</v>
      </c>
      <c r="M33" s="258">
        <f>M26+M28</f>
        <v>4078.9999999999995</v>
      </c>
      <c r="N33" s="233"/>
      <c r="O33" s="258">
        <f>SUM(O5:O32)</f>
        <v>2411.0000000000005</v>
      </c>
      <c r="P33" s="258">
        <f>SUM(P5:P32)</f>
        <v>511.9</v>
      </c>
      <c r="Q33" s="258">
        <f>SUM(Q5:Q32)</f>
        <v>1475.7</v>
      </c>
      <c r="S33" s="108" t="s">
        <v>1139</v>
      </c>
      <c r="T33" s="108" t="s">
        <v>1024</v>
      </c>
      <c r="U33" s="108" t="s">
        <v>1024</v>
      </c>
      <c r="V33" s="108" t="s">
        <v>1025</v>
      </c>
      <c r="W33" s="108" t="s">
        <v>1111</v>
      </c>
      <c r="X33" s="108">
        <v>0.35</v>
      </c>
      <c r="Y33" s="108">
        <v>0.41</v>
      </c>
      <c r="Z33" s="108" t="s">
        <v>1027</v>
      </c>
      <c r="AA33" s="108" t="s">
        <v>1027</v>
      </c>
      <c r="AB33" s="108" t="s">
        <v>1140</v>
      </c>
      <c r="AD33" s="114" t="s">
        <v>1141</v>
      </c>
      <c r="AE33" s="72" t="s">
        <v>242</v>
      </c>
      <c r="AF33" s="72" t="s">
        <v>242</v>
      </c>
      <c r="AG33" s="72" t="s">
        <v>242</v>
      </c>
      <c r="AH33" s="72" t="s">
        <v>242</v>
      </c>
      <c r="AI33" s="72" t="s">
        <v>242</v>
      </c>
      <c r="AJ33" s="108" t="s">
        <v>242</v>
      </c>
      <c r="AK33" s="72" t="s">
        <v>242</v>
      </c>
      <c r="AL33" s="72" t="s">
        <v>242</v>
      </c>
      <c r="AM33" s="256" t="s">
        <v>419</v>
      </c>
    </row>
    <row r="34" spans="2:39" ht="12.75">
      <c r="B34" s="260" t="s">
        <v>1142</v>
      </c>
      <c r="C34" s="261" t="s">
        <v>1143</v>
      </c>
      <c r="D34" s="261" t="s">
        <v>1144</v>
      </c>
      <c r="E34" s="262">
        <v>6</v>
      </c>
      <c r="F34" s="248">
        <f>Retail_Prices!H132</f>
        <v>216.53403200000002</v>
      </c>
      <c r="G34" s="118">
        <f>E34*F34</f>
        <v>1299.2041920000001</v>
      </c>
      <c r="L34" s="233"/>
      <c r="M34" s="233"/>
      <c r="N34" s="233"/>
      <c r="O34" s="233"/>
      <c r="P34" s="233"/>
      <c r="Q34" s="233"/>
      <c r="S34" s="108" t="s">
        <v>1145</v>
      </c>
      <c r="T34" s="108" t="s">
        <v>1024</v>
      </c>
      <c r="U34" s="108" t="s">
        <v>1024</v>
      </c>
      <c r="V34" s="108" t="s">
        <v>1025</v>
      </c>
      <c r="W34" s="108" t="s">
        <v>1111</v>
      </c>
      <c r="X34" s="108">
        <v>0.35</v>
      </c>
      <c r="Y34" s="108">
        <v>0.41</v>
      </c>
      <c r="Z34" s="108" t="s">
        <v>1027</v>
      </c>
      <c r="AA34" s="108" t="s">
        <v>1027</v>
      </c>
      <c r="AB34" s="108" t="s">
        <v>1140</v>
      </c>
      <c r="AD34" s="120" t="s">
        <v>1146</v>
      </c>
      <c r="AE34" s="249" t="s">
        <v>1099</v>
      </c>
      <c r="AF34" s="90" t="s">
        <v>1026</v>
      </c>
      <c r="AG34" s="90" t="s">
        <v>1045</v>
      </c>
      <c r="AH34" s="90" t="s">
        <v>1046</v>
      </c>
      <c r="AI34" s="249" t="s">
        <v>242</v>
      </c>
      <c r="AJ34" s="263" t="s">
        <v>1047</v>
      </c>
      <c r="AK34" s="249" t="s">
        <v>242</v>
      </c>
      <c r="AL34" s="249" t="s">
        <v>242</v>
      </c>
      <c r="AM34" s="264" t="s">
        <v>1147</v>
      </c>
    </row>
    <row r="35" spans="2:17" ht="12.75">
      <c r="B35" s="260" t="s">
        <v>1148</v>
      </c>
      <c r="C35" s="261" t="s">
        <v>1149</v>
      </c>
      <c r="D35" s="261" t="s">
        <v>1150</v>
      </c>
      <c r="E35" s="262">
        <v>1</v>
      </c>
      <c r="F35" s="248">
        <f>Retail_Prices!H133</f>
        <v>272.60204400000003</v>
      </c>
      <c r="G35" s="118">
        <f>E35*F35</f>
        <v>272.60204400000003</v>
      </c>
      <c r="L35" s="236" t="s">
        <v>235</v>
      </c>
      <c r="M35" s="233">
        <v>860.1</v>
      </c>
      <c r="N35" s="233"/>
      <c r="O35" s="233"/>
      <c r="P35" s="233"/>
      <c r="Q35" s="233"/>
    </row>
    <row r="36" spans="2:17" ht="12.75">
      <c r="B36" s="260" t="s">
        <v>1151</v>
      </c>
      <c r="C36" s="261" t="s">
        <v>1152</v>
      </c>
      <c r="D36" s="261" t="s">
        <v>1153</v>
      </c>
      <c r="E36" s="262">
        <v>2</v>
      </c>
      <c r="F36" s="248">
        <f>Retail_Prices!H134</f>
        <v>0</v>
      </c>
      <c r="G36" s="118">
        <f>E36*F36</f>
        <v>0</v>
      </c>
      <c r="L36" s="233"/>
      <c r="M36" s="233"/>
      <c r="N36" s="233"/>
      <c r="O36" s="233"/>
      <c r="P36" s="233"/>
      <c r="Q36" s="233"/>
    </row>
    <row r="37" spans="2:17" ht="12.75">
      <c r="B37" s="260" t="s">
        <v>1154</v>
      </c>
      <c r="C37" s="261" t="s">
        <v>1038</v>
      </c>
      <c r="D37" s="261" t="s">
        <v>1038</v>
      </c>
      <c r="E37" s="262">
        <v>4</v>
      </c>
      <c r="F37" s="248">
        <f>Retail_Prices!H135</f>
        <v>0</v>
      </c>
      <c r="G37" s="118">
        <f>E37*F37</f>
        <v>0</v>
      </c>
      <c r="L37" s="236" t="s">
        <v>1155</v>
      </c>
      <c r="M37" s="258">
        <f>M26+M28</f>
        <v>4078.9999999999995</v>
      </c>
      <c r="N37" s="233"/>
      <c r="O37" s="233"/>
      <c r="P37" s="233"/>
      <c r="Q37" s="233"/>
    </row>
    <row r="38" spans="2:17" ht="12.75">
      <c r="B38" s="260" t="s">
        <v>1156</v>
      </c>
      <c r="C38" s="261" t="s">
        <v>1157</v>
      </c>
      <c r="D38" s="261" t="s">
        <v>1150</v>
      </c>
      <c r="E38" s="262">
        <v>4</v>
      </c>
      <c r="F38" s="248">
        <f>Retail_Prices!H136</f>
        <v>278.286008</v>
      </c>
      <c r="G38" s="118">
        <f>E38*F38</f>
        <v>1113.144032</v>
      </c>
      <c r="L38" s="236" t="s">
        <v>1158</v>
      </c>
      <c r="M38" s="258">
        <f>M37+M35</f>
        <v>4939.099999999999</v>
      </c>
      <c r="N38" s="233"/>
      <c r="O38" s="233"/>
      <c r="P38" s="233"/>
      <c r="Q38" s="233"/>
    </row>
    <row r="39" spans="2:17" ht="12.75">
      <c r="B39" s="175" t="s">
        <v>6</v>
      </c>
      <c r="C39" s="176"/>
      <c r="D39" s="176"/>
      <c r="E39" s="176"/>
      <c r="F39" s="176"/>
      <c r="G39" s="177">
        <f>SUM(G30:G38)</f>
        <v>6399.437044</v>
      </c>
      <c r="L39" s="236" t="s">
        <v>1159</v>
      </c>
      <c r="M39" s="258">
        <f>M38+M29+M30</f>
        <v>6086.599999999999</v>
      </c>
      <c r="N39" s="233"/>
      <c r="O39" s="233"/>
      <c r="P39" s="233"/>
      <c r="Q39" s="233"/>
    </row>
    <row r="40" spans="5:27" ht="12.75">
      <c r="E40" s="72"/>
      <c r="L40" s="236"/>
      <c r="M40" s="233"/>
      <c r="N40" s="233"/>
      <c r="O40" s="258">
        <f>SUM(O5:O39)</f>
        <v>4822.000000000001</v>
      </c>
      <c r="P40" s="258">
        <f>SUM(P5:P39)</f>
        <v>1023.8</v>
      </c>
      <c r="Q40" s="258">
        <f>SUM(Q5:Q39)</f>
        <v>2951.4000000000005</v>
      </c>
      <c r="S40" s="72"/>
      <c r="T40" s="72"/>
      <c r="U40" s="72"/>
      <c r="V40" s="72"/>
      <c r="W40" s="72"/>
      <c r="X40" s="72"/>
      <c r="Y40" s="72"/>
      <c r="Z40" s="72"/>
      <c r="AA40" s="115"/>
    </row>
    <row r="41" spans="2:27" ht="12.75" customHeight="1">
      <c r="B41" s="98" t="s">
        <v>21</v>
      </c>
      <c r="C41" s="98"/>
      <c r="D41" s="98"/>
      <c r="E41" s="98"/>
      <c r="F41" s="98"/>
      <c r="G41" s="98"/>
      <c r="L41" s="233"/>
      <c r="M41" s="258"/>
      <c r="N41" s="233"/>
      <c r="O41" s="233"/>
      <c r="P41" s="233"/>
      <c r="Q41" s="233"/>
      <c r="S41" s="72"/>
      <c r="T41" s="72"/>
      <c r="U41" s="72"/>
      <c r="V41" s="72"/>
      <c r="W41" s="72"/>
      <c r="X41" s="72"/>
      <c r="Y41" s="72"/>
      <c r="Z41" s="72"/>
      <c r="AA41" s="115"/>
    </row>
    <row r="42" spans="2:27" ht="12.75">
      <c r="B42" s="204" t="s">
        <v>21</v>
      </c>
      <c r="C42" s="205" t="s">
        <v>543</v>
      </c>
      <c r="D42" s="205" t="s">
        <v>1160</v>
      </c>
      <c r="E42" s="128" t="s">
        <v>607</v>
      </c>
      <c r="F42" s="205" t="s">
        <v>1119</v>
      </c>
      <c r="G42" s="152" t="s">
        <v>6</v>
      </c>
      <c r="L42" s="233"/>
      <c r="M42" s="233"/>
      <c r="N42" s="233"/>
      <c r="O42" s="233"/>
      <c r="P42" s="233"/>
      <c r="Q42" s="233"/>
      <c r="S42" s="72"/>
      <c r="T42" s="72"/>
      <c r="U42" s="72"/>
      <c r="V42" s="72"/>
      <c r="W42" s="72"/>
      <c r="X42" s="72"/>
      <c r="Y42" s="72"/>
      <c r="Z42" s="72"/>
      <c r="AA42" s="115"/>
    </row>
    <row r="43" spans="2:27" ht="12.75">
      <c r="B43" s="260" t="s">
        <v>175</v>
      </c>
      <c r="C43" s="107" t="s">
        <v>1161</v>
      </c>
      <c r="D43" s="261" t="s">
        <v>1162</v>
      </c>
      <c r="E43" s="129">
        <v>1</v>
      </c>
      <c r="F43" s="265">
        <f>Retail_Prices!H138</f>
        <v>1250.156908</v>
      </c>
      <c r="G43" s="118">
        <f>E43*F43</f>
        <v>1250.156908</v>
      </c>
      <c r="H43" s="12">
        <f>G66-G43-G44-G57-G58-G59-G62</f>
        <v>5306.1089079999965</v>
      </c>
      <c r="L43" s="233"/>
      <c r="M43" s="233"/>
      <c r="N43" s="233"/>
      <c r="O43" s="258">
        <f>O40+P40+Q40</f>
        <v>8797.2</v>
      </c>
      <c r="P43" s="233"/>
      <c r="Q43" s="233"/>
      <c r="S43" s="72"/>
      <c r="T43" s="72"/>
      <c r="U43" s="72"/>
      <c r="V43" s="72"/>
      <c r="W43" s="72"/>
      <c r="X43" s="72"/>
      <c r="Y43" s="72"/>
      <c r="Z43" s="72"/>
      <c r="AA43" s="115"/>
    </row>
    <row r="44" spans="2:27" ht="12.75">
      <c r="B44" s="260" t="s">
        <v>1163</v>
      </c>
      <c r="C44" s="261" t="s">
        <v>1164</v>
      </c>
      <c r="D44" s="261" t="s">
        <v>1165</v>
      </c>
      <c r="E44" s="129">
        <v>1</v>
      </c>
      <c r="F44" s="265">
        <f>Retail_Prices!$H$139</f>
        <v>3260.4</v>
      </c>
      <c r="G44" s="118">
        <f>E44*F44</f>
        <v>3260.4</v>
      </c>
      <c r="H44" s="12">
        <f>G43+G44+G45+G62</f>
        <v>6572.74904</v>
      </c>
      <c r="L44" s="233"/>
      <c r="M44" s="233"/>
      <c r="N44" s="233"/>
      <c r="O44" s="233"/>
      <c r="P44" s="233"/>
      <c r="Q44" s="233"/>
      <c r="S44" s="72"/>
      <c r="T44" s="72"/>
      <c r="U44" s="72"/>
      <c r="V44" s="72"/>
      <c r="W44" s="72"/>
      <c r="X44" s="72"/>
      <c r="Y44" s="72"/>
      <c r="Z44" s="72"/>
      <c r="AA44" s="115"/>
    </row>
    <row r="45" spans="2:27" ht="12.75">
      <c r="B45" s="260" t="s">
        <v>1166</v>
      </c>
      <c r="C45" s="261" t="s">
        <v>1167</v>
      </c>
      <c r="D45" s="261" t="s">
        <v>1162</v>
      </c>
      <c r="E45" s="129">
        <v>1</v>
      </c>
      <c r="F45" s="265">
        <f>Retail_Prices!H141</f>
        <v>1682.42074</v>
      </c>
      <c r="G45" s="118">
        <f>E45*F45</f>
        <v>1682.42074</v>
      </c>
      <c r="H45" s="12">
        <f>G57+G58+G59</f>
        <v>2822.4196</v>
      </c>
      <c r="L45" s="233" t="s">
        <v>1168</v>
      </c>
      <c r="M45" s="258">
        <f>40*100+40*16</f>
        <v>4640</v>
      </c>
      <c r="N45" s="233"/>
      <c r="O45" s="233"/>
      <c r="P45" s="233"/>
      <c r="Q45" s="233"/>
      <c r="S45" s="72"/>
      <c r="T45" s="72"/>
      <c r="U45" s="72"/>
      <c r="V45" s="72"/>
      <c r="W45" s="72"/>
      <c r="X45" s="72"/>
      <c r="Y45" s="72"/>
      <c r="Z45" s="72"/>
      <c r="AA45" s="115"/>
    </row>
    <row r="46" spans="2:27" ht="12.75">
      <c r="B46" s="74" t="s">
        <v>1169</v>
      </c>
      <c r="C46" s="107" t="s">
        <v>1161</v>
      </c>
      <c r="D46" s="261" t="s">
        <v>1162</v>
      </c>
      <c r="E46" s="129">
        <v>6</v>
      </c>
      <c r="F46" s="265">
        <f>Retail_Prices!$H$144</f>
        <v>82.54246</v>
      </c>
      <c r="G46" s="118">
        <f>E46*F46</f>
        <v>495.25476000000003</v>
      </c>
      <c r="L46" s="233" t="s">
        <v>1170</v>
      </c>
      <c r="M46" s="258">
        <f>30*8</f>
        <v>240</v>
      </c>
      <c r="N46" s="233"/>
      <c r="O46" s="233"/>
      <c r="P46" s="233"/>
      <c r="Q46" s="233"/>
      <c r="S46" s="72"/>
      <c r="T46" s="72"/>
      <c r="U46" s="72"/>
      <c r="V46" s="72"/>
      <c r="W46" s="72"/>
      <c r="X46" s="72"/>
      <c r="Y46" s="72"/>
      <c r="Z46" s="72"/>
      <c r="AA46" s="115"/>
    </row>
    <row r="47" spans="2:27" ht="12.75">
      <c r="B47" s="74" t="s">
        <v>1169</v>
      </c>
      <c r="C47" s="107" t="s">
        <v>1171</v>
      </c>
      <c r="D47" s="261" t="s">
        <v>1162</v>
      </c>
      <c r="E47" s="129">
        <v>1</v>
      </c>
      <c r="F47" s="265">
        <f>Retail_Prices!$H$144</f>
        <v>82.54246</v>
      </c>
      <c r="G47" s="118">
        <f>E47*F47</f>
        <v>82.54246</v>
      </c>
      <c r="L47" s="266" t="s">
        <v>1172</v>
      </c>
      <c r="M47" s="266">
        <f>2*(40*6)</f>
        <v>480</v>
      </c>
      <c r="N47" s="267"/>
      <c r="O47" s="267"/>
      <c r="P47" s="267"/>
      <c r="Q47" s="267"/>
      <c r="S47" s="72"/>
      <c r="T47" s="72"/>
      <c r="U47" s="72"/>
      <c r="V47" s="72"/>
      <c r="W47" s="72"/>
      <c r="X47" s="72"/>
      <c r="Y47" s="72"/>
      <c r="Z47" s="72"/>
      <c r="AA47" s="115"/>
    </row>
    <row r="48" spans="2:17" ht="12.75">
      <c r="B48" s="74" t="s">
        <v>1169</v>
      </c>
      <c r="C48" s="107" t="s">
        <v>1173</v>
      </c>
      <c r="D48" s="261" t="s">
        <v>1162</v>
      </c>
      <c r="E48" s="129">
        <v>1</v>
      </c>
      <c r="F48" s="265">
        <f>Retail_Prices!$H$144</f>
        <v>82.54246</v>
      </c>
      <c r="G48" s="118">
        <f>E48*F48</f>
        <v>82.54246</v>
      </c>
      <c r="L48" s="266" t="s">
        <v>1174</v>
      </c>
      <c r="M48" s="266">
        <v>250</v>
      </c>
      <c r="N48" s="267"/>
      <c r="O48" s="267"/>
      <c r="P48" s="267"/>
      <c r="Q48" s="267"/>
    </row>
    <row r="49" spans="2:17" ht="12.75">
      <c r="B49" s="74" t="s">
        <v>1175</v>
      </c>
      <c r="C49" s="107" t="s">
        <v>1173</v>
      </c>
      <c r="D49" s="261" t="s">
        <v>1162</v>
      </c>
      <c r="E49" s="72">
        <v>3</v>
      </c>
      <c r="F49" s="215">
        <f>Retail_Prices!$H$145</f>
        <v>216.2732</v>
      </c>
      <c r="G49" s="118">
        <f>E49*F49</f>
        <v>648.8196</v>
      </c>
      <c r="L49" s="266"/>
      <c r="M49" s="266"/>
      <c r="N49" s="266"/>
      <c r="O49" s="266"/>
      <c r="P49" s="268"/>
      <c r="Q49" s="269"/>
    </row>
    <row r="50" spans="2:17" ht="12.75">
      <c r="B50" s="74" t="s">
        <v>1176</v>
      </c>
      <c r="C50" s="107" t="s">
        <v>1161</v>
      </c>
      <c r="D50" s="107" t="s">
        <v>1177</v>
      </c>
      <c r="E50" s="129">
        <v>1</v>
      </c>
      <c r="F50" s="265">
        <f>Retail_Prices!H156</f>
        <v>128.2424</v>
      </c>
      <c r="G50" s="118">
        <f>E50*F50</f>
        <v>128.2424</v>
      </c>
      <c r="L50" s="266" t="s">
        <v>1178</v>
      </c>
      <c r="M50" s="266">
        <f>SUM(M45:M49)</f>
        <v>5610</v>
      </c>
      <c r="N50" s="266"/>
      <c r="O50" s="266"/>
      <c r="P50" s="266"/>
      <c r="Q50" s="269"/>
    </row>
    <row r="51" spans="2:17" ht="12.75">
      <c r="B51" s="74" t="s">
        <v>1176</v>
      </c>
      <c r="C51" s="107" t="s">
        <v>1171</v>
      </c>
      <c r="D51" s="107" t="s">
        <v>1177</v>
      </c>
      <c r="E51" s="129">
        <v>1</v>
      </c>
      <c r="F51" s="265">
        <f>Retail_Prices!H153</f>
        <v>139.1104</v>
      </c>
      <c r="G51" s="118">
        <f>E51*F51</f>
        <v>139.1104</v>
      </c>
      <c r="L51" s="266"/>
      <c r="M51" s="266"/>
      <c r="N51" s="266"/>
      <c r="O51" s="266"/>
      <c r="P51" s="266"/>
      <c r="Q51" s="269"/>
    </row>
    <row r="52" spans="2:17" ht="12.75">
      <c r="B52" s="74" t="s">
        <v>1179</v>
      </c>
      <c r="C52" s="107" t="s">
        <v>1089</v>
      </c>
      <c r="D52" s="107" t="s">
        <v>1177</v>
      </c>
      <c r="E52" s="129">
        <v>2</v>
      </c>
      <c r="F52" s="265">
        <f>Retail_Prices!H157</f>
        <v>90.2044</v>
      </c>
      <c r="G52" s="118">
        <f>E52*F52</f>
        <v>180.4088</v>
      </c>
      <c r="L52" s="266"/>
      <c r="M52" s="266"/>
      <c r="N52" s="266"/>
      <c r="O52" s="266"/>
      <c r="P52" s="266"/>
      <c r="Q52" s="269"/>
    </row>
    <row r="53" spans="2:17" ht="12.75">
      <c r="B53" s="74" t="s">
        <v>1180</v>
      </c>
      <c r="C53" s="107" t="s">
        <v>1181</v>
      </c>
      <c r="D53" s="107" t="s">
        <v>1182</v>
      </c>
      <c r="E53" s="129">
        <f>3*2</f>
        <v>6</v>
      </c>
      <c r="F53" s="265">
        <f>Retail_Prices!$H$144</f>
        <v>82.54246</v>
      </c>
      <c r="G53" s="118">
        <f>E53*F53</f>
        <v>495.25476000000003</v>
      </c>
      <c r="L53" s="266" t="s">
        <v>1183</v>
      </c>
      <c r="M53" s="266">
        <f>23*34</f>
        <v>782</v>
      </c>
      <c r="N53" s="266"/>
      <c r="O53" s="266"/>
      <c r="P53" s="266"/>
      <c r="Q53" s="269"/>
    </row>
    <row r="54" spans="2:17" ht="12.75">
      <c r="B54" s="74" t="s">
        <v>1184</v>
      </c>
      <c r="C54" s="107" t="s">
        <v>1181</v>
      </c>
      <c r="D54" s="107" t="s">
        <v>1182</v>
      </c>
      <c r="E54" s="129">
        <v>2</v>
      </c>
      <c r="F54" s="265">
        <f>Retail_Prices!$H$144</f>
        <v>82.54246</v>
      </c>
      <c r="G54" s="118">
        <f>E54*F54</f>
        <v>165.08492</v>
      </c>
      <c r="L54" s="266" t="s">
        <v>1185</v>
      </c>
      <c r="M54" s="266">
        <f>28*7</f>
        <v>196</v>
      </c>
      <c r="N54" s="266"/>
      <c r="O54" s="266"/>
      <c r="P54" s="266"/>
      <c r="Q54" s="269"/>
    </row>
    <row r="55" spans="2:17" ht="12.75">
      <c r="B55" s="74" t="s">
        <v>1186</v>
      </c>
      <c r="C55" s="107" t="s">
        <v>1187</v>
      </c>
      <c r="D55" s="107" t="s">
        <v>1182</v>
      </c>
      <c r="E55" s="129">
        <v>4</v>
      </c>
      <c r="F55" s="265">
        <f>Retail_Prices!$H$144</f>
        <v>82.54246</v>
      </c>
      <c r="G55" s="118">
        <f>E55*F55</f>
        <v>330.16984</v>
      </c>
      <c r="L55" s="266" t="s">
        <v>1188</v>
      </c>
      <c r="M55" s="266">
        <f>7*96+32*16</f>
        <v>1184</v>
      </c>
      <c r="N55" s="266"/>
      <c r="O55" s="266"/>
      <c r="P55" s="266"/>
      <c r="Q55" s="269"/>
    </row>
    <row r="56" spans="2:17" ht="12.75">
      <c r="B56" s="74" t="s">
        <v>1189</v>
      </c>
      <c r="C56" s="107" t="s">
        <v>1187</v>
      </c>
      <c r="D56" s="107" t="s">
        <v>1182</v>
      </c>
      <c r="E56" s="129">
        <v>4</v>
      </c>
      <c r="F56" s="265">
        <f>Retail_Prices!$H$144</f>
        <v>82.54246</v>
      </c>
      <c r="G56" s="118">
        <f>E56*F56</f>
        <v>330.16984</v>
      </c>
      <c r="L56" s="266" t="s">
        <v>1190</v>
      </c>
      <c r="M56" s="266">
        <f>SUM(M53:M55)</f>
        <v>2162</v>
      </c>
      <c r="N56" s="266"/>
      <c r="O56" s="266"/>
      <c r="P56" s="266"/>
      <c r="Q56" s="269"/>
    </row>
    <row r="57" spans="2:17" ht="12.75">
      <c r="B57" s="74" t="s">
        <v>39</v>
      </c>
      <c r="C57" s="107" t="s">
        <v>1191</v>
      </c>
      <c r="D57" s="107" t="s">
        <v>39</v>
      </c>
      <c r="E57" s="129">
        <v>1</v>
      </c>
      <c r="F57" s="265">
        <f>Retail_Prices!H161</f>
        <v>1195.48</v>
      </c>
      <c r="G57" s="118">
        <f>E57*F57</f>
        <v>1195.48</v>
      </c>
      <c r="L57" s="233"/>
      <c r="M57" s="233"/>
      <c r="N57" s="266"/>
      <c r="O57" s="266"/>
      <c r="P57" s="266"/>
      <c r="Q57" s="269"/>
    </row>
    <row r="58" spans="2:17" ht="12.75">
      <c r="B58" s="74" t="s">
        <v>39</v>
      </c>
      <c r="C58" s="107" t="s">
        <v>1192</v>
      </c>
      <c r="D58" s="107" t="s">
        <v>39</v>
      </c>
      <c r="E58" s="129">
        <v>1</v>
      </c>
      <c r="F58" s="265">
        <f>Retail_Prices!H162</f>
        <v>1096.5812</v>
      </c>
      <c r="G58" s="118">
        <f>E58*F58</f>
        <v>1096.5812</v>
      </c>
      <c r="L58" s="233"/>
      <c r="M58" s="233"/>
      <c r="N58" s="266"/>
      <c r="O58" s="266"/>
      <c r="P58" s="266"/>
      <c r="Q58" s="269"/>
    </row>
    <row r="59" spans="2:17" ht="12.75">
      <c r="B59" s="74" t="s">
        <v>1193</v>
      </c>
      <c r="C59" s="107"/>
      <c r="D59" s="107" t="s">
        <v>1194</v>
      </c>
      <c r="E59" s="129">
        <v>2</v>
      </c>
      <c r="F59" s="265">
        <f>Retail_Prices!H166</f>
        <v>265.1792</v>
      </c>
      <c r="G59" s="118">
        <f>E59*F59</f>
        <v>530.3584</v>
      </c>
      <c r="L59" s="233"/>
      <c r="M59" s="233"/>
      <c r="N59" s="266"/>
      <c r="O59" s="266"/>
      <c r="P59" s="266"/>
      <c r="Q59" s="269"/>
    </row>
    <row r="60" spans="2:17" ht="12.75">
      <c r="B60" s="74" t="s">
        <v>1195</v>
      </c>
      <c r="C60" s="107"/>
      <c r="D60" s="107" t="s">
        <v>1196</v>
      </c>
      <c r="E60" s="129">
        <v>17</v>
      </c>
      <c r="F60" s="265">
        <f>Retail_Prices!H167</f>
        <v>17.736576</v>
      </c>
      <c r="G60" s="118">
        <f>E60*F60</f>
        <v>301.521792</v>
      </c>
      <c r="L60" s="266" t="s">
        <v>1197</v>
      </c>
      <c r="M60" s="266">
        <f>30*8</f>
        <v>240</v>
      </c>
      <c r="N60" s="266"/>
      <c r="O60" s="266"/>
      <c r="P60" s="266"/>
      <c r="Q60" s="269"/>
    </row>
    <row r="61" spans="2:17" ht="12.75">
      <c r="B61" s="74" t="s">
        <v>1195</v>
      </c>
      <c r="C61" s="107"/>
      <c r="D61" s="107" t="s">
        <v>1198</v>
      </c>
      <c r="E61" s="129">
        <v>9</v>
      </c>
      <c r="F61" s="265">
        <f>Retail_Prices!H168</f>
        <v>16.062904</v>
      </c>
      <c r="G61" s="118">
        <f>E61*F61</f>
        <v>144.566136</v>
      </c>
      <c r="L61" s="266" t="s">
        <v>1199</v>
      </c>
      <c r="M61" s="266">
        <v>126</v>
      </c>
      <c r="N61" s="266"/>
      <c r="O61" s="266"/>
      <c r="P61" s="266"/>
      <c r="Q61" s="269"/>
    </row>
    <row r="62" spans="2:17" ht="12.75">
      <c r="B62" s="74" t="s">
        <v>1195</v>
      </c>
      <c r="C62" s="107"/>
      <c r="D62" s="107" t="s">
        <v>1200</v>
      </c>
      <c r="E62" s="129">
        <v>7</v>
      </c>
      <c r="F62" s="265">
        <f>Retail_Prices!H169</f>
        <v>54.253056</v>
      </c>
      <c r="G62" s="118">
        <f>E62*F62</f>
        <v>379.771392</v>
      </c>
      <c r="L62" s="266" t="s">
        <v>1201</v>
      </c>
      <c r="M62" s="233">
        <v>274</v>
      </c>
      <c r="N62" s="266"/>
      <c r="O62" s="266"/>
      <c r="P62" s="266"/>
      <c r="Q62" s="269"/>
    </row>
    <row r="63" spans="2:17" ht="12.75">
      <c r="B63" s="74" t="s">
        <v>1202</v>
      </c>
      <c r="C63" s="107"/>
      <c r="D63" s="107"/>
      <c r="E63" s="129">
        <v>1</v>
      </c>
      <c r="F63" s="75">
        <v>100</v>
      </c>
      <c r="G63" s="118">
        <f>E63*F63</f>
        <v>100</v>
      </c>
      <c r="L63" s="266" t="s">
        <v>1203</v>
      </c>
      <c r="M63" s="233">
        <v>126</v>
      </c>
      <c r="N63" s="266"/>
      <c r="O63" s="266"/>
      <c r="P63" s="266"/>
      <c r="Q63" s="269"/>
    </row>
    <row r="64" spans="2:17" ht="12.75">
      <c r="B64" s="58"/>
      <c r="E64" s="129"/>
      <c r="F64" s="107"/>
      <c r="G64" s="113"/>
      <c r="L64" s="266" t="s">
        <v>1204</v>
      </c>
      <c r="M64" s="266">
        <f>M60+M62</f>
        <v>514</v>
      </c>
      <c r="N64" s="266"/>
      <c r="O64" s="266"/>
      <c r="P64" s="266"/>
      <c r="Q64" s="269"/>
    </row>
    <row r="65" spans="2:18" ht="12.75">
      <c r="B65" s="58"/>
      <c r="E65" s="129"/>
      <c r="F65" s="107"/>
      <c r="G65" s="113"/>
      <c r="N65" s="270"/>
      <c r="O65" s="270"/>
      <c r="P65" s="270"/>
      <c r="Q65" s="271"/>
      <c r="R65" s="22">
        <f>36*96</f>
        <v>3456</v>
      </c>
    </row>
    <row r="66" spans="2:18" ht="12.75">
      <c r="B66" s="175" t="s">
        <v>6</v>
      </c>
      <c r="C66" s="176"/>
      <c r="D66" s="176"/>
      <c r="E66" s="176"/>
      <c r="F66" s="176"/>
      <c r="G66" s="177">
        <f>SUM(G43:G65)</f>
        <v>13018.856807999997</v>
      </c>
      <c r="N66" s="270"/>
      <c r="O66" s="270"/>
      <c r="P66" s="270"/>
      <c r="Q66" s="271"/>
      <c r="R66">
        <v>512</v>
      </c>
    </row>
    <row r="67" spans="13:18" ht="12.75">
      <c r="M67" s="270"/>
      <c r="N67" s="270"/>
      <c r="O67" s="270"/>
      <c r="P67" s="270"/>
      <c r="Q67" s="271"/>
      <c r="R67">
        <v>512</v>
      </c>
    </row>
    <row r="68" spans="2:18" ht="12.75">
      <c r="B68" s="98" t="s">
        <v>1205</v>
      </c>
      <c r="C68" s="98"/>
      <c r="D68" s="98"/>
      <c r="E68" s="98"/>
      <c r="F68" s="98"/>
      <c r="G68" s="98"/>
      <c r="M68" s="270">
        <f>M38+M61</f>
        <v>5065.099999999999</v>
      </c>
      <c r="N68" s="270"/>
      <c r="O68" s="270"/>
      <c r="P68" s="270"/>
      <c r="Q68" s="271"/>
      <c r="R68">
        <v>514</v>
      </c>
    </row>
    <row r="69" spans="2:18" ht="12.75">
      <c r="B69" s="125" t="s">
        <v>606</v>
      </c>
      <c r="C69" s="126"/>
      <c r="D69" s="126"/>
      <c r="E69" s="115" t="s">
        <v>1206</v>
      </c>
      <c r="F69" s="126" t="s">
        <v>639</v>
      </c>
      <c r="G69" s="152" t="s">
        <v>6</v>
      </c>
      <c r="L69" s="270"/>
      <c r="M69" s="270">
        <f>M68-512</f>
        <v>4553.099999999999</v>
      </c>
      <c r="N69" s="270"/>
      <c r="O69" s="270"/>
      <c r="P69" s="270"/>
      <c r="Q69" s="271"/>
      <c r="R69" s="22">
        <f>SUM(R65:R68)</f>
        <v>4994</v>
      </c>
    </row>
    <row r="70" spans="2:17" ht="12.75">
      <c r="B70" s="114" t="s">
        <v>1207</v>
      </c>
      <c r="C70" s="115"/>
      <c r="D70" s="72"/>
      <c r="E70" s="115">
        <f>484+328</f>
        <v>812</v>
      </c>
      <c r="F70" s="248">
        <f>Retail_Prices!$H$211</f>
        <v>0.48090900000000003</v>
      </c>
      <c r="G70" s="118">
        <f>E70*F70</f>
        <v>390.498108</v>
      </c>
      <c r="L70" s="270"/>
      <c r="M70" s="270"/>
      <c r="N70" s="270"/>
      <c r="O70" s="272"/>
      <c r="P70" s="270"/>
      <c r="Q70" s="271"/>
    </row>
    <row r="71" spans="2:17" ht="12.75">
      <c r="B71" s="114" t="s">
        <v>1208</v>
      </c>
      <c r="C71" s="115"/>
      <c r="D71" s="72"/>
      <c r="E71" s="115"/>
      <c r="F71" s="72"/>
      <c r="G71" s="118">
        <v>250</v>
      </c>
      <c r="L71" s="270"/>
      <c r="M71" s="270"/>
      <c r="N71" s="270"/>
      <c r="O71" s="270"/>
      <c r="P71" s="270"/>
      <c r="Q71" s="271"/>
    </row>
    <row r="72" spans="2:17" ht="12.75">
      <c r="B72" s="114" t="s">
        <v>1209</v>
      </c>
      <c r="C72" s="115"/>
      <c r="D72" s="72"/>
      <c r="E72" s="115">
        <f>34*17</f>
        <v>578</v>
      </c>
      <c r="F72" s="248">
        <f>Retail_Prices!$H$211</f>
        <v>0.48090900000000003</v>
      </c>
      <c r="G72" s="118">
        <f>E72*F72</f>
        <v>277.96540200000004</v>
      </c>
      <c r="L72" s="270"/>
      <c r="M72" s="270"/>
      <c r="N72" s="270"/>
      <c r="O72" s="270"/>
      <c r="P72" s="270"/>
      <c r="Q72" s="270"/>
    </row>
    <row r="73" spans="2:17" ht="12.75">
      <c r="B73" s="114"/>
      <c r="C73" s="115"/>
      <c r="D73" s="72"/>
      <c r="E73" s="115"/>
      <c r="F73" s="72"/>
      <c r="G73" s="118"/>
      <c r="L73" s="273"/>
      <c r="M73" s="270"/>
      <c r="N73" s="270"/>
      <c r="O73" s="270"/>
      <c r="P73" s="270"/>
      <c r="Q73" s="270"/>
    </row>
    <row r="74" spans="2:17" ht="12.75">
      <c r="B74" s="114"/>
      <c r="C74" s="115"/>
      <c r="D74" s="72"/>
      <c r="E74" s="115"/>
      <c r="F74" s="72"/>
      <c r="G74" s="118"/>
      <c r="L74" s="270"/>
      <c r="M74" s="270"/>
      <c r="N74" s="270"/>
      <c r="O74" s="270"/>
      <c r="P74" s="270"/>
      <c r="Q74" s="270"/>
    </row>
    <row r="75" spans="2:17" ht="12.75">
      <c r="B75" s="114"/>
      <c r="C75" s="115"/>
      <c r="D75" s="72"/>
      <c r="E75" s="115"/>
      <c r="F75" s="72"/>
      <c r="G75" s="118"/>
      <c r="L75" s="270"/>
      <c r="M75" s="270"/>
      <c r="N75" s="270"/>
      <c r="O75" s="270"/>
      <c r="P75" s="270"/>
      <c r="Q75" s="270"/>
    </row>
    <row r="76" spans="2:7" ht="12.75">
      <c r="B76" s="114"/>
      <c r="C76" s="115"/>
      <c r="D76" s="115"/>
      <c r="E76" s="115"/>
      <c r="F76" s="72"/>
      <c r="G76" s="118"/>
    </row>
    <row r="77" spans="2:7" ht="12.75">
      <c r="B77" s="114"/>
      <c r="C77" s="115"/>
      <c r="D77" s="72"/>
      <c r="E77" s="115"/>
      <c r="F77" s="72"/>
      <c r="G77" s="118"/>
    </row>
    <row r="78" spans="2:7" ht="12.75">
      <c r="B78" s="114"/>
      <c r="C78" s="115"/>
      <c r="D78" s="72"/>
      <c r="E78" s="115"/>
      <c r="F78" s="72"/>
      <c r="G78" s="118"/>
    </row>
    <row r="79" spans="2:7" ht="12.75">
      <c r="B79" s="175" t="s">
        <v>6</v>
      </c>
      <c r="C79" s="176"/>
      <c r="D79" s="176"/>
      <c r="E79" s="176"/>
      <c r="F79" s="176"/>
      <c r="G79" s="177">
        <f>SUM(G70:G78)</f>
        <v>918.46351</v>
      </c>
    </row>
    <row r="81" spans="2:7" ht="12.75">
      <c r="B81" s="98" t="s">
        <v>1210</v>
      </c>
      <c r="C81" s="98"/>
      <c r="D81" s="98"/>
      <c r="E81" s="98"/>
      <c r="F81" s="98"/>
      <c r="G81" s="98"/>
    </row>
    <row r="82" spans="2:7" ht="12.75">
      <c r="B82" s="125" t="s">
        <v>606</v>
      </c>
      <c r="C82" s="126"/>
      <c r="D82" s="126"/>
      <c r="E82" s="115" t="s">
        <v>588</v>
      </c>
      <c r="F82" s="126" t="s">
        <v>545</v>
      </c>
      <c r="G82" s="152" t="s">
        <v>6</v>
      </c>
    </row>
    <row r="83" spans="2:7" ht="12.75">
      <c r="B83" s="114" t="s">
        <v>1211</v>
      </c>
      <c r="C83" s="115"/>
      <c r="D83" s="72"/>
      <c r="E83" s="115"/>
      <c r="F83" s="72"/>
      <c r="G83" s="118">
        <v>5000</v>
      </c>
    </row>
    <row r="84" spans="2:7" ht="12.75">
      <c r="B84" s="114" t="s">
        <v>1212</v>
      </c>
      <c r="C84" s="115"/>
      <c r="D84" s="72"/>
      <c r="E84" s="115"/>
      <c r="F84" s="72"/>
      <c r="G84" s="118">
        <v>600</v>
      </c>
    </row>
    <row r="85" spans="2:7" ht="12.75">
      <c r="B85" s="114" t="s">
        <v>1213</v>
      </c>
      <c r="C85" s="115"/>
      <c r="D85" s="72"/>
      <c r="E85" s="115"/>
      <c r="F85" s="72"/>
      <c r="G85" s="118">
        <f>150*4</f>
        <v>600</v>
      </c>
    </row>
    <row r="86" spans="2:7" ht="12.75">
      <c r="B86" s="114" t="s">
        <v>1214</v>
      </c>
      <c r="C86" s="115"/>
      <c r="D86" s="72"/>
      <c r="E86" s="115"/>
      <c r="F86" s="72"/>
      <c r="G86" s="118">
        <v>2000</v>
      </c>
    </row>
    <row r="87" spans="2:7" ht="12.75">
      <c r="B87" s="114"/>
      <c r="C87" s="115"/>
      <c r="D87" s="72"/>
      <c r="E87" s="115"/>
      <c r="F87" s="72"/>
      <c r="G87" s="118"/>
    </row>
    <row r="88" spans="2:7" ht="12.75">
      <c r="B88" s="114"/>
      <c r="C88" s="115"/>
      <c r="D88" s="72"/>
      <c r="E88" s="115"/>
      <c r="F88" s="72"/>
      <c r="G88" s="118"/>
    </row>
    <row r="89" spans="2:7" ht="12.75">
      <c r="B89" s="114"/>
      <c r="C89" s="115"/>
      <c r="D89" s="115"/>
      <c r="E89" s="115"/>
      <c r="F89" s="72"/>
      <c r="G89" s="118"/>
    </row>
    <row r="90" spans="2:7" ht="12.75">
      <c r="B90" s="114"/>
      <c r="C90" s="115"/>
      <c r="D90" s="72"/>
      <c r="E90" s="115"/>
      <c r="F90" s="72"/>
      <c r="G90" s="118"/>
    </row>
    <row r="91" spans="2:7" ht="12.75">
      <c r="B91" s="114"/>
      <c r="C91" s="115"/>
      <c r="D91" s="72"/>
      <c r="E91" s="115"/>
      <c r="F91" s="72"/>
      <c r="G91" s="118"/>
    </row>
    <row r="92" spans="2:7" ht="12.75">
      <c r="B92" s="175" t="s">
        <v>6</v>
      </c>
      <c r="C92" s="176"/>
      <c r="D92" s="176"/>
      <c r="E92" s="176"/>
      <c r="F92" s="176"/>
      <c r="G92" s="177">
        <f>SUM(G83:G91)</f>
        <v>8200</v>
      </c>
    </row>
    <row r="94" spans="2:7" ht="12.75">
      <c r="B94" s="52" t="s">
        <v>1215</v>
      </c>
      <c r="C94" s="52"/>
      <c r="D94" s="52"/>
      <c r="E94" s="52"/>
      <c r="F94" s="52"/>
      <c r="G94" s="52"/>
    </row>
    <row r="95" spans="2:7" ht="12.75">
      <c r="B95" s="114"/>
      <c r="C95" s="115"/>
      <c r="D95" s="115"/>
      <c r="E95" s="115" t="s">
        <v>607</v>
      </c>
      <c r="F95" s="115" t="s">
        <v>688</v>
      </c>
      <c r="G95" s="116" t="s">
        <v>6</v>
      </c>
    </row>
    <row r="96" spans="2:7" ht="12.75">
      <c r="B96" s="114" t="s">
        <v>207</v>
      </c>
      <c r="C96" s="115"/>
      <c r="D96" s="72"/>
      <c r="E96" s="115">
        <v>1</v>
      </c>
      <c r="F96" s="185">
        <v>250</v>
      </c>
      <c r="G96" s="118">
        <v>250</v>
      </c>
    </row>
    <row r="97" spans="2:7" ht="12.75">
      <c r="B97" s="114" t="s">
        <v>1216</v>
      </c>
      <c r="C97" s="115"/>
      <c r="D97" s="72"/>
      <c r="E97" s="115">
        <v>1</v>
      </c>
      <c r="F97" s="185">
        <v>150</v>
      </c>
      <c r="G97" s="118">
        <v>175</v>
      </c>
    </row>
    <row r="98" spans="2:7" ht="12.75">
      <c r="B98" s="114" t="s">
        <v>1217</v>
      </c>
      <c r="C98" s="115"/>
      <c r="D98" s="72"/>
      <c r="E98" s="115">
        <v>1</v>
      </c>
      <c r="F98" s="185">
        <v>750</v>
      </c>
      <c r="G98" s="118">
        <v>1000</v>
      </c>
    </row>
    <row r="99" spans="2:7" ht="12.75">
      <c r="B99" s="114" t="s">
        <v>1217</v>
      </c>
      <c r="C99" s="115"/>
      <c r="D99" s="72"/>
      <c r="E99" s="115">
        <v>1</v>
      </c>
      <c r="F99" s="185">
        <v>500</v>
      </c>
      <c r="G99" s="118">
        <v>1000</v>
      </c>
    </row>
    <row r="100" spans="2:7" ht="12.75">
      <c r="B100" s="114" t="s">
        <v>1218</v>
      </c>
      <c r="C100" s="115"/>
      <c r="D100" s="72"/>
      <c r="E100" s="115">
        <v>1</v>
      </c>
      <c r="F100" s="185">
        <v>500</v>
      </c>
      <c r="G100" s="118">
        <v>1000</v>
      </c>
    </row>
    <row r="101" spans="2:7" ht="12.75">
      <c r="B101" s="114" t="s">
        <v>1219</v>
      </c>
      <c r="C101" s="115"/>
      <c r="D101" s="72"/>
      <c r="E101" s="115">
        <v>1</v>
      </c>
      <c r="F101" s="185">
        <v>200</v>
      </c>
      <c r="G101" s="118">
        <v>500</v>
      </c>
    </row>
    <row r="102" spans="2:7" ht="12.75">
      <c r="B102" s="114" t="s">
        <v>1220</v>
      </c>
      <c r="C102" s="115"/>
      <c r="D102" s="72"/>
      <c r="E102" s="115">
        <v>6</v>
      </c>
      <c r="F102" s="117">
        <v>75</v>
      </c>
      <c r="G102" s="118">
        <v>500</v>
      </c>
    </row>
    <row r="103" spans="2:7" ht="12.75">
      <c r="B103" s="114" t="s">
        <v>1221</v>
      </c>
      <c r="C103" s="115"/>
      <c r="D103" s="115"/>
      <c r="E103" s="115">
        <v>1</v>
      </c>
      <c r="F103" s="117">
        <v>750</v>
      </c>
      <c r="G103" s="118">
        <v>501</v>
      </c>
    </row>
    <row r="104" spans="2:7" ht="12.75">
      <c r="B104" s="114" t="s">
        <v>1222</v>
      </c>
      <c r="C104" s="115"/>
      <c r="D104" s="115"/>
      <c r="E104" s="115">
        <v>1</v>
      </c>
      <c r="F104" s="117">
        <v>750</v>
      </c>
      <c r="G104" s="118">
        <v>502</v>
      </c>
    </row>
    <row r="105" spans="2:7" ht="12.75">
      <c r="B105" s="114" t="s">
        <v>1223</v>
      </c>
      <c r="C105" s="115"/>
      <c r="D105" s="115"/>
      <c r="E105" s="115">
        <v>2</v>
      </c>
      <c r="F105" s="117">
        <v>500</v>
      </c>
      <c r="G105" s="118">
        <v>503</v>
      </c>
    </row>
    <row r="106" spans="2:7" ht="12.75">
      <c r="B106" s="114" t="s">
        <v>1224</v>
      </c>
      <c r="C106" s="115"/>
      <c r="D106" s="72"/>
      <c r="E106" s="115">
        <v>1</v>
      </c>
      <c r="F106" s="117">
        <v>1000</v>
      </c>
      <c r="G106" s="118">
        <v>504</v>
      </c>
    </row>
    <row r="107" spans="2:7" ht="12.75">
      <c r="B107" s="114" t="s">
        <v>215</v>
      </c>
      <c r="C107" s="115"/>
      <c r="D107" s="72"/>
      <c r="E107" s="115">
        <v>1</v>
      </c>
      <c r="F107" s="117">
        <v>500</v>
      </c>
      <c r="G107" s="118">
        <v>505</v>
      </c>
    </row>
    <row r="108" spans="2:7" ht="12.75">
      <c r="B108" s="114" t="s">
        <v>1225</v>
      </c>
      <c r="C108" s="115"/>
      <c r="D108" s="72"/>
      <c r="E108" s="115">
        <v>4</v>
      </c>
      <c r="F108" s="117">
        <v>150</v>
      </c>
      <c r="G108" s="118">
        <v>505</v>
      </c>
    </row>
    <row r="109" spans="2:7" ht="12.75">
      <c r="B109" s="114" t="s">
        <v>1226</v>
      </c>
      <c r="C109" s="115"/>
      <c r="D109" s="72"/>
      <c r="E109" s="115">
        <v>2</v>
      </c>
      <c r="F109" s="117">
        <v>100</v>
      </c>
      <c r="G109" s="118">
        <v>505</v>
      </c>
    </row>
    <row r="110" spans="2:7" ht="12.75">
      <c r="B110" s="114" t="s">
        <v>205</v>
      </c>
      <c r="C110" s="115"/>
      <c r="D110" s="72"/>
      <c r="E110" s="115">
        <v>4</v>
      </c>
      <c r="F110" s="117">
        <f>Retail_Prices!H199</f>
        <v>182.5824</v>
      </c>
      <c r="G110" s="118">
        <v>505</v>
      </c>
    </row>
    <row r="111" spans="2:7" ht="12.75">
      <c r="B111" s="114"/>
      <c r="C111" s="115"/>
      <c r="D111" s="72"/>
      <c r="E111" s="115"/>
      <c r="F111" s="117"/>
      <c r="G111" s="118"/>
    </row>
    <row r="112" spans="2:7" ht="12.75">
      <c r="B112" s="114"/>
      <c r="C112" s="115"/>
      <c r="D112" s="72"/>
      <c r="E112" s="115"/>
      <c r="F112" s="117"/>
      <c r="G112" s="118"/>
    </row>
    <row r="113" spans="2:7" ht="12.75">
      <c r="B113" s="114"/>
      <c r="C113" s="115"/>
      <c r="D113" s="72"/>
      <c r="E113" s="115"/>
      <c r="F113" s="117"/>
      <c r="G113" s="118"/>
    </row>
    <row r="114" spans="2:7" ht="12.75">
      <c r="B114" s="114"/>
      <c r="C114" s="115"/>
      <c r="D114" s="72"/>
      <c r="E114" s="115"/>
      <c r="F114" s="117"/>
      <c r="G114" s="118"/>
    </row>
    <row r="115" spans="2:7" ht="12.75">
      <c r="B115" s="114"/>
      <c r="C115" s="115"/>
      <c r="D115" s="72"/>
      <c r="E115" s="115"/>
      <c r="F115" s="117"/>
      <c r="G115" s="118"/>
    </row>
    <row r="116" spans="2:7" ht="12.75">
      <c r="B116" s="114"/>
      <c r="C116" s="115"/>
      <c r="D116" s="72"/>
      <c r="E116" s="115"/>
      <c r="F116" s="117"/>
      <c r="G116" s="118"/>
    </row>
    <row r="117" spans="2:7" ht="12.75">
      <c r="B117" s="114"/>
      <c r="C117" s="115"/>
      <c r="D117" s="72"/>
      <c r="E117" s="115"/>
      <c r="F117" s="117"/>
      <c r="G117" s="118"/>
    </row>
    <row r="118" spans="2:7" ht="12.75">
      <c r="B118" s="114"/>
      <c r="C118" s="115"/>
      <c r="D118" s="72"/>
      <c r="E118" s="115"/>
      <c r="F118" s="117"/>
      <c r="G118" s="118"/>
    </row>
    <row r="119" spans="2:7" ht="12.75">
      <c r="B119" s="114"/>
      <c r="C119" s="115"/>
      <c r="D119" s="72"/>
      <c r="E119" s="115"/>
      <c r="F119" s="117"/>
      <c r="G119" s="118"/>
    </row>
    <row r="120" spans="2:7" ht="12.75">
      <c r="B120" s="274" t="s">
        <v>6</v>
      </c>
      <c r="C120" s="275"/>
      <c r="D120" s="275"/>
      <c r="E120" s="275"/>
      <c r="F120" s="275"/>
      <c r="G120" s="181">
        <f>SUM(G96:G119)</f>
        <v>8455</v>
      </c>
    </row>
    <row r="122" spans="2:7" ht="12.75">
      <c r="B122" s="98" t="s">
        <v>1227</v>
      </c>
      <c r="C122" s="98"/>
      <c r="D122" s="98"/>
      <c r="E122" s="98"/>
      <c r="F122" s="98"/>
      <c r="G122" s="98"/>
    </row>
    <row r="123" spans="2:7" ht="12.75">
      <c r="B123" s="125" t="s">
        <v>606</v>
      </c>
      <c r="C123" s="126" t="s">
        <v>1228</v>
      </c>
      <c r="D123" s="126" t="s">
        <v>922</v>
      </c>
      <c r="E123" s="115" t="s">
        <v>1229</v>
      </c>
      <c r="F123" s="126" t="s">
        <v>545</v>
      </c>
      <c r="G123" s="152" t="s">
        <v>6</v>
      </c>
    </row>
    <row r="124" spans="2:7" ht="12.75">
      <c r="B124" s="114" t="s">
        <v>1230</v>
      </c>
      <c r="C124" s="115">
        <f>(96+52+32+16+32+16+32+52+36+36)</f>
        <v>400</v>
      </c>
      <c r="D124" s="72">
        <v>9</v>
      </c>
      <c r="E124" s="115">
        <f>C124*D124</f>
        <v>3600</v>
      </c>
      <c r="F124" s="248">
        <f>Retail_Prices!$H$122</f>
        <v>0.24985532</v>
      </c>
      <c r="G124" s="257">
        <f>E124*F124</f>
        <v>899.479152</v>
      </c>
    </row>
    <row r="125" spans="2:8" ht="12.75">
      <c r="B125" s="114" t="s">
        <v>1231</v>
      </c>
      <c r="C125" s="115"/>
      <c r="D125" s="72"/>
      <c r="E125" s="115">
        <v>1000</v>
      </c>
      <c r="F125" s="248">
        <f>Retail_Prices!$H$122</f>
        <v>0.24985532</v>
      </c>
      <c r="G125" s="257">
        <f>E125*F125</f>
        <v>249.85532</v>
      </c>
      <c r="H125" s="215">
        <f>SUM(G124:G125)</f>
        <v>1149.334472</v>
      </c>
    </row>
    <row r="126" spans="2:7" ht="12.75">
      <c r="B126" s="114" t="s">
        <v>1232</v>
      </c>
      <c r="C126" s="115">
        <f>484+66</f>
        <v>550</v>
      </c>
      <c r="D126" s="72">
        <v>8</v>
      </c>
      <c r="E126" s="115">
        <f>C126*D126</f>
        <v>4400</v>
      </c>
      <c r="F126" s="248">
        <f>Retail_Prices!$H$179</f>
        <v>0.05064488</v>
      </c>
      <c r="G126" s="257">
        <f>E126*F126</f>
        <v>222.83747200000002</v>
      </c>
    </row>
    <row r="127" spans="2:7" ht="12.75">
      <c r="B127" s="114" t="s">
        <v>1233</v>
      </c>
      <c r="C127" s="115">
        <f>484+66</f>
        <v>550</v>
      </c>
      <c r="D127" s="72">
        <v>8</v>
      </c>
      <c r="E127" s="115">
        <f>C127*D127</f>
        <v>4400</v>
      </c>
      <c r="F127" s="248">
        <f>Retail_Prices!$H$180</f>
        <v>0.08960666</v>
      </c>
      <c r="G127" s="257">
        <f>E127*F127</f>
        <v>394.26930400000003</v>
      </c>
    </row>
    <row r="128" spans="2:7" ht="12.75">
      <c r="B128" s="114" t="s">
        <v>1234</v>
      </c>
      <c r="C128" s="115"/>
      <c r="D128" s="72"/>
      <c r="E128" s="115">
        <v>3600</v>
      </c>
      <c r="F128" s="248">
        <f>Retail_Prices!$H$179</f>
        <v>0.05064488</v>
      </c>
      <c r="G128" s="257">
        <f>E128*F128</f>
        <v>182.321568</v>
      </c>
    </row>
    <row r="129" spans="2:7" ht="12.75">
      <c r="B129" s="114" t="s">
        <v>1235</v>
      </c>
      <c r="C129" s="115"/>
      <c r="D129" s="72"/>
      <c r="E129" s="115">
        <v>3600</v>
      </c>
      <c r="F129" s="248">
        <f>Retail_Prices!$H$180</f>
        <v>0.08960666</v>
      </c>
      <c r="G129" s="257">
        <f>E129*F129</f>
        <v>322.583976</v>
      </c>
    </row>
    <row r="130" spans="2:8" ht="12.75">
      <c r="B130" s="114" t="s">
        <v>1236</v>
      </c>
      <c r="C130" s="115"/>
      <c r="D130" s="115"/>
      <c r="E130" s="115">
        <v>1000</v>
      </c>
      <c r="F130" s="248">
        <f>Retail_Prices!$H$180</f>
        <v>0.08960666</v>
      </c>
      <c r="G130" s="257">
        <f>E130*F130</f>
        <v>89.60666</v>
      </c>
      <c r="H130" s="215">
        <f>SUM(G126:G130)</f>
        <v>1211.61898</v>
      </c>
    </row>
    <row r="131" spans="2:7" ht="12.75">
      <c r="B131" s="114"/>
      <c r="C131" s="115"/>
      <c r="D131" s="72"/>
      <c r="E131" s="115"/>
      <c r="F131" s="72"/>
      <c r="G131" s="116"/>
    </row>
    <row r="132" spans="2:7" ht="12.75">
      <c r="B132" s="114"/>
      <c r="C132" s="115"/>
      <c r="D132" s="72"/>
      <c r="E132" s="115"/>
      <c r="F132" s="72"/>
      <c r="G132" s="116"/>
    </row>
    <row r="133" spans="2:7" ht="12.75">
      <c r="B133" s="175" t="s">
        <v>6</v>
      </c>
      <c r="C133" s="176"/>
      <c r="D133" s="176"/>
      <c r="E133" s="176"/>
      <c r="F133" s="176"/>
      <c r="G133" s="177">
        <f>SUM(G124:G132)</f>
        <v>2360.9534519999997</v>
      </c>
    </row>
    <row r="134" spans="2:7" ht="12.75">
      <c r="B134" s="98" t="s">
        <v>161</v>
      </c>
      <c r="C134" s="98"/>
      <c r="D134" s="98"/>
      <c r="E134" s="98"/>
      <c r="F134" s="98"/>
      <c r="G134" s="98"/>
    </row>
    <row r="135" spans="2:7" ht="12.75">
      <c r="B135" s="125" t="s">
        <v>606</v>
      </c>
      <c r="C135" s="126"/>
      <c r="D135" s="126"/>
      <c r="E135" s="115" t="s">
        <v>607</v>
      </c>
      <c r="F135" s="126"/>
      <c r="G135" s="152" t="s">
        <v>6</v>
      </c>
    </row>
    <row r="136" spans="2:7" ht="12.75">
      <c r="B136" s="114" t="s">
        <v>1237</v>
      </c>
      <c r="C136" s="115"/>
      <c r="D136" s="72"/>
      <c r="E136" s="115"/>
      <c r="F136" s="72"/>
      <c r="G136" s="118">
        <v>250</v>
      </c>
    </row>
    <row r="137" spans="2:7" ht="12.75">
      <c r="B137" t="s">
        <v>1238</v>
      </c>
      <c r="C137" s="115"/>
      <c r="D137" s="72"/>
      <c r="E137" s="115"/>
      <c r="F137" s="72"/>
      <c r="G137" s="118"/>
    </row>
    <row r="138" spans="2:7" ht="12.75">
      <c r="B138" t="s">
        <v>1239</v>
      </c>
      <c r="C138" s="115"/>
      <c r="D138" s="72"/>
      <c r="E138" s="115">
        <v>3</v>
      </c>
      <c r="F138" s="248">
        <f>Retail_Prices!H238</f>
        <v>139.523384</v>
      </c>
      <c r="G138" s="118">
        <f>E138*F138</f>
        <v>418.570152</v>
      </c>
    </row>
    <row r="139" spans="3:7" ht="12.75">
      <c r="C139" s="115"/>
      <c r="D139" s="72"/>
      <c r="E139" s="115"/>
      <c r="F139" s="72"/>
      <c r="G139" s="118"/>
    </row>
    <row r="140" spans="2:7" ht="12.75">
      <c r="B140" s="114" t="s">
        <v>1240</v>
      </c>
      <c r="C140" s="115"/>
      <c r="D140" s="72"/>
      <c r="E140" s="115"/>
      <c r="F140" s="72"/>
      <c r="G140" s="116"/>
    </row>
    <row r="141" spans="2:7" ht="12.75">
      <c r="B141" s="114" t="s">
        <v>1241</v>
      </c>
      <c r="C141" s="115"/>
      <c r="D141" s="72"/>
      <c r="E141" s="115"/>
      <c r="F141" s="72"/>
      <c r="G141" s="116"/>
    </row>
    <row r="142" spans="2:7" ht="12.75">
      <c r="B142" s="114" t="s">
        <v>1242</v>
      </c>
      <c r="C142" s="115"/>
      <c r="D142" s="72"/>
      <c r="E142" s="115"/>
      <c r="F142" s="72"/>
      <c r="G142" s="116"/>
    </row>
    <row r="143" spans="2:7" ht="12.75">
      <c r="B143" s="114"/>
      <c r="C143" s="115"/>
      <c r="D143" s="72"/>
      <c r="E143" s="115"/>
      <c r="F143" s="72"/>
      <c r="G143" s="116"/>
    </row>
    <row r="144" spans="2:7" ht="12.75">
      <c r="B144" s="114"/>
      <c r="C144" s="115"/>
      <c r="D144" s="72"/>
      <c r="E144" s="115"/>
      <c r="F144" s="72"/>
      <c r="G144" s="116"/>
    </row>
    <row r="145" spans="2:7" ht="12.75">
      <c r="B145" s="114"/>
      <c r="C145" s="115"/>
      <c r="D145" s="72"/>
      <c r="E145" s="115"/>
      <c r="F145" s="72"/>
      <c r="G145" s="116"/>
    </row>
    <row r="146" spans="2:7" ht="12.75">
      <c r="B146" s="114"/>
      <c r="C146" s="115"/>
      <c r="D146" s="72"/>
      <c r="E146" s="115"/>
      <c r="F146" s="72"/>
      <c r="G146" s="116"/>
    </row>
    <row r="147" spans="2:7" ht="12.75">
      <c r="B147" s="114"/>
      <c r="C147" s="115"/>
      <c r="D147" s="115"/>
      <c r="E147" s="115"/>
      <c r="F147" s="72"/>
      <c r="G147" s="116"/>
    </row>
    <row r="148" spans="2:7" ht="12.75">
      <c r="B148" s="114"/>
      <c r="C148" s="115"/>
      <c r="D148" s="72"/>
      <c r="E148" s="115"/>
      <c r="F148" s="72"/>
      <c r="G148" s="116"/>
    </row>
    <row r="149" spans="2:7" ht="12.75">
      <c r="B149" s="114"/>
      <c r="C149" s="115"/>
      <c r="D149" s="72"/>
      <c r="E149" s="115"/>
      <c r="F149" s="72"/>
      <c r="G149" s="116"/>
    </row>
    <row r="150" spans="2:7" ht="12.75">
      <c r="B150" s="175" t="s">
        <v>6</v>
      </c>
      <c r="C150" s="176"/>
      <c r="D150" s="176"/>
      <c r="E150" s="176"/>
      <c r="F150" s="176"/>
      <c r="G150" s="177">
        <f>SUM(G136:G149)</f>
        <v>668.570152</v>
      </c>
    </row>
    <row r="155" spans="2:7" ht="12.75">
      <c r="B155" t="s">
        <v>6</v>
      </c>
      <c r="G155" s="12">
        <f>G13+G26+G39+G66+G79+G92+G120+G133+G150</f>
        <v>63142.21237639654</v>
      </c>
    </row>
  </sheetData>
  <sheetProtection selectLockedCells="1" selectUnlockedCells="1"/>
  <mergeCells count="12">
    <mergeCell ref="B3:G3"/>
    <mergeCell ref="S3:AB3"/>
    <mergeCell ref="AD3:AM3"/>
    <mergeCell ref="L4:M4"/>
    <mergeCell ref="B15:G15"/>
    <mergeCell ref="B28:G28"/>
    <mergeCell ref="B41:G41"/>
    <mergeCell ref="B68:G68"/>
    <mergeCell ref="B81:G81"/>
    <mergeCell ref="B94:G94"/>
    <mergeCell ref="B122:G122"/>
    <mergeCell ref="B134:G134"/>
  </mergeCells>
  <printOptions/>
  <pageMargins left="0.7875" right="0.7875" top="1.0541666666666667" bottom="1.0541666666666667" header="0.7875" footer="0.7875"/>
  <pageSetup fitToHeight="1" fitToWidth="1" horizontalDpi="300" verticalDpi="300" orientation="portrait"/>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dimension ref="B3:J34"/>
  <sheetViews>
    <sheetView zoomScale="90" zoomScaleNormal="90" workbookViewId="0" topLeftCell="A1">
      <selection activeCell="G34" sqref="G34"/>
    </sheetView>
  </sheetViews>
  <sheetFormatPr defaultColWidth="12.57421875" defaultRowHeight="12.75"/>
  <cols>
    <col min="1" max="1" width="11.57421875" style="0" customWidth="1"/>
    <col min="2" max="2" width="17.8515625" style="0" customWidth="1"/>
    <col min="3" max="8" width="11.57421875" style="0" customWidth="1"/>
    <col min="9" max="9" width="18.421875" style="0" customWidth="1"/>
    <col min="10" max="16384" width="11.57421875" style="0" customWidth="1"/>
  </cols>
  <sheetData>
    <row r="3" spans="2:10" ht="12.75" customHeight="1">
      <c r="B3" s="98" t="s">
        <v>1243</v>
      </c>
      <c r="C3" s="98"/>
      <c r="D3" s="98"/>
      <c r="E3" s="98"/>
      <c r="F3" s="98"/>
      <c r="G3" s="98"/>
      <c r="I3" s="111" t="s">
        <v>533</v>
      </c>
      <c r="J3" s="112" t="s">
        <v>534</v>
      </c>
    </row>
    <row r="4" spans="2:10" ht="12.75">
      <c r="B4" s="125" t="s">
        <v>606</v>
      </c>
      <c r="C4" s="126"/>
      <c r="D4" s="126"/>
      <c r="E4" s="115" t="s">
        <v>607</v>
      </c>
      <c r="F4" s="126" t="s">
        <v>1119</v>
      </c>
      <c r="G4" s="152" t="s">
        <v>6</v>
      </c>
      <c r="I4" s="42">
        <f>B3</f>
        <v>0</v>
      </c>
      <c r="J4" s="56">
        <f>G23</f>
        <v>14208.711799999997</v>
      </c>
    </row>
    <row r="5" spans="2:10" ht="12.75">
      <c r="B5" s="42" t="s">
        <v>1244</v>
      </c>
      <c r="C5" s="115"/>
      <c r="D5" s="72"/>
      <c r="E5" s="115">
        <v>1</v>
      </c>
      <c r="F5" s="117">
        <f>Retail_Prices!H223</f>
        <v>790.32096</v>
      </c>
      <c r="G5" s="118">
        <f>E5*F5</f>
        <v>790.32096</v>
      </c>
      <c r="I5" s="42"/>
      <c r="J5" s="113"/>
    </row>
    <row r="6" spans="2:10" ht="12.75">
      <c r="B6" s="42" t="s">
        <v>1245</v>
      </c>
      <c r="C6" s="115"/>
      <c r="D6" s="72"/>
      <c r="E6" s="115">
        <v>1</v>
      </c>
      <c r="F6" s="117">
        <f>Retail_Prices!H224</f>
        <v>899.8704</v>
      </c>
      <c r="G6" s="118">
        <f>E6*F6</f>
        <v>899.8704</v>
      </c>
      <c r="I6" s="42"/>
      <c r="J6" s="113"/>
    </row>
    <row r="7" spans="2:10" ht="12.75">
      <c r="B7" s="42" t="s">
        <v>217</v>
      </c>
      <c r="C7" s="115"/>
      <c r="D7" s="72"/>
      <c r="E7" s="115">
        <v>1</v>
      </c>
      <c r="F7" s="117">
        <f>Retail_Prices!H225</f>
        <v>976.16376</v>
      </c>
      <c r="G7" s="118">
        <f>E7*F7</f>
        <v>976.16376</v>
      </c>
      <c r="I7" s="123" t="s">
        <v>6</v>
      </c>
      <c r="J7" s="124">
        <f>SUM(J4:J6)</f>
        <v>14208.711799999997</v>
      </c>
    </row>
    <row r="8" spans="2:7" ht="12.75">
      <c r="B8" s="42" t="s">
        <v>1246</v>
      </c>
      <c r="C8" s="115"/>
      <c r="D8" s="72"/>
      <c r="E8" s="115">
        <v>1</v>
      </c>
      <c r="F8" s="117">
        <f>Retail_Prices!H226</f>
        <v>1520.4332</v>
      </c>
      <c r="G8" s="118">
        <f>E8*F8</f>
        <v>1520.4332</v>
      </c>
    </row>
    <row r="9" spans="2:10" ht="12.75">
      <c r="B9" s="42" t="s">
        <v>1247</v>
      </c>
      <c r="C9" s="115"/>
      <c r="D9" s="72"/>
      <c r="E9" s="115">
        <v>1</v>
      </c>
      <c r="F9" s="117">
        <f>Retail_Prices!H227</f>
        <v>1411.7532</v>
      </c>
      <c r="G9" s="118">
        <f>E9*F9</f>
        <v>1411.7532</v>
      </c>
      <c r="J9" s="12">
        <f>J7-3000-3775.87</f>
        <v>7432.841799999997</v>
      </c>
    </row>
    <row r="10" spans="2:7" ht="12.75">
      <c r="B10" s="36" t="s">
        <v>1248</v>
      </c>
      <c r="C10" s="115"/>
      <c r="D10" s="72"/>
      <c r="E10" s="115">
        <v>1</v>
      </c>
      <c r="F10" s="117">
        <f>Retail_Prices!H228</f>
        <v>420.59159999999997</v>
      </c>
      <c r="G10" s="118">
        <f>E10*F10</f>
        <v>420.59159999999997</v>
      </c>
    </row>
    <row r="11" spans="2:7" ht="12.75">
      <c r="B11" s="36" t="s">
        <v>1249</v>
      </c>
      <c r="C11" s="115"/>
      <c r="D11" s="72"/>
      <c r="E11" s="115">
        <v>1</v>
      </c>
      <c r="F11" s="117">
        <f>Retail_Prices!H230</f>
        <v>977.0332</v>
      </c>
      <c r="G11" s="118">
        <f>E11*F11</f>
        <v>977.0332</v>
      </c>
    </row>
    <row r="12" spans="2:7" ht="12.75">
      <c r="B12" s="36" t="s">
        <v>1250</v>
      </c>
      <c r="C12" s="115"/>
      <c r="D12" s="72"/>
      <c r="E12" s="115">
        <v>1</v>
      </c>
      <c r="F12" s="117">
        <f>Retail_Prices!H231</f>
        <v>1845.3864</v>
      </c>
      <c r="G12" s="118">
        <f>E12*F12</f>
        <v>1845.3864</v>
      </c>
    </row>
    <row r="13" spans="2:7" ht="12.75">
      <c r="B13" s="36" t="s">
        <v>1251</v>
      </c>
      <c r="C13" s="115"/>
      <c r="D13" s="72"/>
      <c r="E13" s="115">
        <v>1</v>
      </c>
      <c r="F13" s="117">
        <f>Retail_Prices!H232</f>
        <v>1900.8132</v>
      </c>
      <c r="G13" s="118">
        <f>E13*F13</f>
        <v>1900.8132</v>
      </c>
    </row>
    <row r="14" spans="2:8" ht="12.75">
      <c r="B14" s="36" t="s">
        <v>40</v>
      </c>
      <c r="C14" s="115"/>
      <c r="D14" s="72"/>
      <c r="E14" s="115">
        <v>1</v>
      </c>
      <c r="F14" s="117">
        <f>Retail_Prices!H233</f>
        <v>1875.05604</v>
      </c>
      <c r="G14" s="118">
        <f>E14*F14</f>
        <v>1875.05604</v>
      </c>
      <c r="H14" s="12">
        <f>G13+G14</f>
        <v>3775.86924</v>
      </c>
    </row>
    <row r="15" spans="2:7" ht="12.75">
      <c r="B15" s="36" t="s">
        <v>1252</v>
      </c>
      <c r="C15" s="115"/>
      <c r="D15" s="115"/>
      <c r="E15" s="115">
        <v>1</v>
      </c>
      <c r="F15" s="117">
        <f>Retail_Prices!H234</f>
        <v>281.4812</v>
      </c>
      <c r="G15" s="118">
        <f>E15*F15</f>
        <v>281.4812</v>
      </c>
    </row>
    <row r="16" spans="2:7" ht="12.75">
      <c r="B16" s="36" t="s">
        <v>1253</v>
      </c>
      <c r="C16" s="115"/>
      <c r="D16" s="72"/>
      <c r="E16" s="115">
        <v>1</v>
      </c>
      <c r="F16" s="117">
        <f>Retail_Prices!H235</f>
        <v>1497.056132</v>
      </c>
      <c r="G16" s="118">
        <f>E16*F16</f>
        <v>1497.056132</v>
      </c>
    </row>
    <row r="17" spans="2:7" ht="12.75">
      <c r="B17" s="36" t="s">
        <v>1254</v>
      </c>
      <c r="C17" s="115"/>
      <c r="D17" s="72"/>
      <c r="E17" s="115">
        <v>1</v>
      </c>
      <c r="F17" s="117">
        <f>Retail_Prices!H236</f>
        <v>556.3981279999999</v>
      </c>
      <c r="G17" s="118">
        <f>E17*F17</f>
        <v>556.3981279999999</v>
      </c>
    </row>
    <row r="18" spans="2:7" ht="12.75">
      <c r="B18" s="36" t="s">
        <v>1255</v>
      </c>
      <c r="C18" s="115"/>
      <c r="D18" s="72"/>
      <c r="E18" s="115">
        <v>1</v>
      </c>
      <c r="F18" s="117">
        <v>3000</v>
      </c>
      <c r="G18" s="118">
        <f>E18*F18</f>
        <v>3000</v>
      </c>
    </row>
    <row r="19" spans="2:7" ht="12.75">
      <c r="B19" s="252" t="s">
        <v>1256</v>
      </c>
      <c r="C19" s="115"/>
      <c r="D19" s="72"/>
      <c r="E19" s="115"/>
      <c r="F19" s="117"/>
      <c r="G19" s="118">
        <f>-G5-G6</f>
        <v>-1690.19136</v>
      </c>
    </row>
    <row r="20" spans="2:7" ht="12.75">
      <c r="B20" s="252" t="s">
        <v>1257</v>
      </c>
      <c r="C20" s="115"/>
      <c r="D20" s="72"/>
      <c r="E20" s="115"/>
      <c r="F20" s="117"/>
      <c r="G20" s="118">
        <f>-G16-G17</f>
        <v>-2053.45426</v>
      </c>
    </row>
    <row r="21" spans="2:7" ht="12.75">
      <c r="B21" s="42"/>
      <c r="G21" s="113"/>
    </row>
    <row r="22" spans="2:7" ht="12.75">
      <c r="B22" s="114"/>
      <c r="C22" s="115"/>
      <c r="D22" s="72"/>
      <c r="E22" s="115"/>
      <c r="F22" s="117"/>
      <c r="G22" s="118"/>
    </row>
    <row r="23" spans="2:7" ht="12.75">
      <c r="B23" s="175" t="s">
        <v>6</v>
      </c>
      <c r="C23" s="176"/>
      <c r="D23" s="176"/>
      <c r="E23" s="176"/>
      <c r="F23" s="176"/>
      <c r="G23" s="177">
        <f>SUM(G5:G22)</f>
        <v>14208.711799999997</v>
      </c>
    </row>
    <row r="25" ht="12.75">
      <c r="G25" s="12">
        <f>G23-G18</f>
        <v>11208.711799999997</v>
      </c>
    </row>
    <row r="29" ht="12.75">
      <c r="G29" s="12">
        <f>G23-G13-G14-G18</f>
        <v>7432.842559999997</v>
      </c>
    </row>
    <row r="32" ht="12.75">
      <c r="G32" s="12">
        <f>G5+G6+G7+G8+G9+G10+G11+G12+G15+G16+G17</f>
        <v>11176.48818</v>
      </c>
    </row>
    <row r="33" ht="12.75">
      <c r="G33" s="12">
        <f>G8+G11+G12+G7</f>
        <v>5319.01656</v>
      </c>
    </row>
    <row r="34" ht="12.75">
      <c r="G34" s="12">
        <f>G32-G33</f>
        <v>5857.47162</v>
      </c>
    </row>
  </sheetData>
  <sheetProtection selectLockedCells="1" selectUnlockedCells="1"/>
  <mergeCells count="1">
    <mergeCell ref="B3:G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B3:J51"/>
  <sheetViews>
    <sheetView zoomScale="90" zoomScaleNormal="90" workbookViewId="0" topLeftCell="A1">
      <selection activeCell="I35" sqref="I35"/>
    </sheetView>
  </sheetViews>
  <sheetFormatPr defaultColWidth="12.57421875" defaultRowHeight="12.75"/>
  <cols>
    <col min="1" max="1" width="11.57421875" style="0" customWidth="1"/>
    <col min="2" max="2" width="25.8515625" style="0" customWidth="1"/>
    <col min="3" max="8" width="11.57421875" style="0" customWidth="1"/>
    <col min="9" max="9" width="17.28125" style="0" customWidth="1"/>
    <col min="10" max="16384" width="11.57421875" style="0" customWidth="1"/>
  </cols>
  <sheetData>
    <row r="3" spans="2:10" ht="12.75" customHeight="1">
      <c r="B3" s="98" t="s">
        <v>1258</v>
      </c>
      <c r="C3" s="98"/>
      <c r="D3" s="98"/>
      <c r="E3" s="98"/>
      <c r="F3" s="98"/>
      <c r="G3" s="98"/>
      <c r="I3" s="111" t="s">
        <v>533</v>
      </c>
      <c r="J3" s="112" t="s">
        <v>534</v>
      </c>
    </row>
    <row r="4" spans="2:10" ht="12.75">
      <c r="B4" s="125" t="s">
        <v>606</v>
      </c>
      <c r="C4" s="126"/>
      <c r="D4" s="126"/>
      <c r="E4" s="115" t="s">
        <v>607</v>
      </c>
      <c r="F4" s="126" t="s">
        <v>688</v>
      </c>
      <c r="G4" s="152" t="s">
        <v>6</v>
      </c>
      <c r="I4" s="42" t="str">
        <f>B3</f>
        <v>HVAC Units</v>
      </c>
      <c r="J4" s="56">
        <f>G18</f>
        <v>13230</v>
      </c>
    </row>
    <row r="5" spans="2:10" ht="12.75">
      <c r="B5" s="114" t="s">
        <v>1259</v>
      </c>
      <c r="C5" s="115"/>
      <c r="D5" s="72"/>
      <c r="E5" s="115">
        <v>2</v>
      </c>
      <c r="F5" s="117">
        <v>3795</v>
      </c>
      <c r="G5" s="118">
        <f>E5*F5</f>
        <v>7590</v>
      </c>
      <c r="I5" s="42" t="str">
        <f>B20</f>
        <v>Hydronic Plumbing</v>
      </c>
      <c r="J5" s="56">
        <f>G29</f>
        <v>500</v>
      </c>
    </row>
    <row r="6" spans="2:10" ht="12.75">
      <c r="B6" t="s">
        <v>1260</v>
      </c>
      <c r="C6" s="115"/>
      <c r="D6" s="72"/>
      <c r="E6" s="115">
        <v>2</v>
      </c>
      <c r="F6" s="117">
        <v>395</v>
      </c>
      <c r="G6" s="118">
        <f>E6*F6</f>
        <v>790</v>
      </c>
      <c r="I6" s="42" t="str">
        <f>B31</f>
        <v>HRV System</v>
      </c>
      <c r="J6" s="56">
        <f>G42</f>
        <v>1550</v>
      </c>
    </row>
    <row r="7" spans="2:10" ht="12.75">
      <c r="B7" s="114" t="s">
        <v>1261</v>
      </c>
      <c r="C7" s="115"/>
      <c r="D7" s="72"/>
      <c r="E7" s="115">
        <v>5</v>
      </c>
      <c r="F7" s="117">
        <v>539</v>
      </c>
      <c r="G7" s="118">
        <f>E7*F7</f>
        <v>2695</v>
      </c>
      <c r="I7" s="42"/>
      <c r="J7" s="113"/>
    </row>
    <row r="8" spans="2:10" ht="12.75">
      <c r="B8" s="114" t="s">
        <v>1262</v>
      </c>
      <c r="C8" s="115"/>
      <c r="D8" s="72"/>
      <c r="E8" s="115">
        <v>2</v>
      </c>
      <c r="F8" s="117">
        <v>569</v>
      </c>
      <c r="G8" s="118">
        <f>E8*F8</f>
        <v>1138</v>
      </c>
      <c r="I8" s="42"/>
      <c r="J8" s="113"/>
    </row>
    <row r="9" spans="2:10" ht="12.75">
      <c r="B9" s="114" t="s">
        <v>1263</v>
      </c>
      <c r="C9" s="115"/>
      <c r="D9" s="72"/>
      <c r="E9" s="115">
        <v>1</v>
      </c>
      <c r="F9" s="117">
        <v>289</v>
      </c>
      <c r="G9" s="118">
        <f>E9*F9</f>
        <v>289</v>
      </c>
      <c r="I9" s="123" t="s">
        <v>6</v>
      </c>
      <c r="J9" s="124">
        <f>SUM(J4:J8)</f>
        <v>15280</v>
      </c>
    </row>
    <row r="10" spans="2:7" ht="12.75">
      <c r="B10" s="114" t="s">
        <v>1264</v>
      </c>
      <c r="C10" s="115"/>
      <c r="D10" s="72"/>
      <c r="E10" s="115">
        <v>2</v>
      </c>
      <c r="F10" s="117">
        <v>114</v>
      </c>
      <c r="G10" s="118">
        <f>E10*F10</f>
        <v>228</v>
      </c>
    </row>
    <row r="11" spans="2:7" ht="12.75">
      <c r="B11" s="114" t="s">
        <v>1265</v>
      </c>
      <c r="C11" s="115"/>
      <c r="D11" s="72"/>
      <c r="E11" s="115"/>
      <c r="F11" s="117"/>
      <c r="G11" s="118">
        <v>500</v>
      </c>
    </row>
    <row r="12" spans="2:7" ht="12.75">
      <c r="B12" s="114"/>
      <c r="C12" s="115"/>
      <c r="D12" s="72"/>
      <c r="E12" s="115"/>
      <c r="F12" s="117"/>
      <c r="G12" s="118"/>
    </row>
    <row r="13" spans="2:7" ht="12.75">
      <c r="B13" s="114"/>
      <c r="C13" s="115"/>
      <c r="D13" s="115"/>
      <c r="E13" s="115"/>
      <c r="F13" s="117"/>
      <c r="G13" s="118"/>
    </row>
    <row r="14" spans="2:7" ht="12.75">
      <c r="B14" s="114"/>
      <c r="C14" s="115"/>
      <c r="D14" s="72"/>
      <c r="E14" s="115"/>
      <c r="F14" s="117"/>
      <c r="G14" s="118"/>
    </row>
    <row r="15" spans="2:7" ht="12.75">
      <c r="B15" s="114"/>
      <c r="C15" s="115"/>
      <c r="D15" s="72"/>
      <c r="E15" s="115"/>
      <c r="F15" s="117"/>
      <c r="G15" s="118"/>
    </row>
    <row r="16" spans="2:7" ht="12.75">
      <c r="B16" s="114"/>
      <c r="C16" s="115"/>
      <c r="D16" s="72"/>
      <c r="E16" s="115"/>
      <c r="F16" s="117"/>
      <c r="G16" s="118"/>
    </row>
    <row r="17" spans="2:7" ht="12.75">
      <c r="B17" s="114"/>
      <c r="C17" s="115"/>
      <c r="D17" s="72"/>
      <c r="E17" s="115"/>
      <c r="F17" s="117"/>
      <c r="G17" s="118"/>
    </row>
    <row r="18" spans="2:7" ht="12.75">
      <c r="B18" s="175" t="s">
        <v>6</v>
      </c>
      <c r="C18" s="176"/>
      <c r="D18" s="176"/>
      <c r="E18" s="176"/>
      <c r="F18" s="176"/>
      <c r="G18" s="177">
        <f>SUM(G5:G17)</f>
        <v>13230</v>
      </c>
    </row>
    <row r="20" spans="2:7" ht="12.75" customHeight="1">
      <c r="B20" s="98" t="s">
        <v>1266</v>
      </c>
      <c r="C20" s="98"/>
      <c r="D20" s="98"/>
      <c r="E20" s="98"/>
      <c r="F20" s="98"/>
      <c r="G20" s="98"/>
    </row>
    <row r="21" spans="2:7" ht="12.75">
      <c r="B21" s="125" t="s">
        <v>606</v>
      </c>
      <c r="C21" s="126"/>
      <c r="D21" s="126"/>
      <c r="E21" s="115" t="s">
        <v>607</v>
      </c>
      <c r="F21" s="126" t="s">
        <v>583</v>
      </c>
      <c r="G21" s="152" t="s">
        <v>6</v>
      </c>
    </row>
    <row r="22" spans="2:7" ht="12.75">
      <c r="B22" s="114" t="s">
        <v>1267</v>
      </c>
      <c r="C22" s="115"/>
      <c r="D22" s="72"/>
      <c r="E22" s="115"/>
      <c r="F22" s="72"/>
      <c r="G22" s="118">
        <v>100</v>
      </c>
    </row>
    <row r="23" spans="2:7" ht="12.75">
      <c r="B23" s="114" t="s">
        <v>1268</v>
      </c>
      <c r="C23" s="115"/>
      <c r="D23" s="72"/>
      <c r="E23" s="115"/>
      <c r="F23" s="72"/>
      <c r="G23" s="118">
        <v>250</v>
      </c>
    </row>
    <row r="24" spans="2:7" ht="12.75">
      <c r="B24" s="114" t="s">
        <v>1269</v>
      </c>
      <c r="C24" s="115"/>
      <c r="D24" s="115"/>
      <c r="E24" s="115"/>
      <c r="F24" s="72"/>
      <c r="G24" s="118">
        <v>50</v>
      </c>
    </row>
    <row r="25" spans="2:7" ht="12.75">
      <c r="B25" s="114" t="s">
        <v>1202</v>
      </c>
      <c r="C25" s="115"/>
      <c r="D25" s="115"/>
      <c r="E25" s="115"/>
      <c r="F25" s="72"/>
      <c r="G25" s="118">
        <v>100</v>
      </c>
    </row>
    <row r="26" spans="2:7" ht="12.75">
      <c r="B26" s="114"/>
      <c r="C26" s="115"/>
      <c r="D26" s="72"/>
      <c r="E26" s="115"/>
      <c r="F26" s="72"/>
      <c r="G26" s="118"/>
    </row>
    <row r="27" spans="2:7" ht="12.75">
      <c r="B27" s="114"/>
      <c r="C27" s="115"/>
      <c r="D27" s="72"/>
      <c r="E27" s="115"/>
      <c r="F27" s="72"/>
      <c r="G27" s="118"/>
    </row>
    <row r="28" spans="2:7" ht="12.75">
      <c r="B28" s="114"/>
      <c r="C28" s="115"/>
      <c r="D28" s="72"/>
      <c r="E28" s="115"/>
      <c r="F28" s="72"/>
      <c r="G28" s="118"/>
    </row>
    <row r="29" spans="2:7" ht="12.75">
      <c r="B29" s="175" t="s">
        <v>6</v>
      </c>
      <c r="C29" s="176"/>
      <c r="D29" s="176"/>
      <c r="E29" s="176"/>
      <c r="F29" s="176"/>
      <c r="G29" s="177">
        <f>SUM(G22:G28)</f>
        <v>500</v>
      </c>
    </row>
    <row r="31" spans="2:7" ht="12.75">
      <c r="B31" s="98" t="s">
        <v>1270</v>
      </c>
      <c r="C31" s="98"/>
      <c r="D31" s="98"/>
      <c r="E31" s="98"/>
      <c r="F31" s="98"/>
      <c r="G31" s="98"/>
    </row>
    <row r="32" spans="2:7" ht="12.75">
      <c r="B32" s="125" t="s">
        <v>606</v>
      </c>
      <c r="C32" s="126"/>
      <c r="D32" s="126"/>
      <c r="E32" s="115" t="s">
        <v>607</v>
      </c>
      <c r="F32" s="126"/>
      <c r="G32" s="152" t="s">
        <v>6</v>
      </c>
    </row>
    <row r="33" spans="2:7" ht="12.75">
      <c r="B33" s="114" t="s">
        <v>1271</v>
      </c>
      <c r="C33" s="115"/>
      <c r="D33" s="72"/>
      <c r="E33" s="115"/>
      <c r="F33" s="72"/>
      <c r="G33" s="118">
        <v>1250</v>
      </c>
    </row>
    <row r="34" spans="2:7" ht="12.75">
      <c r="B34" s="114" t="s">
        <v>1272</v>
      </c>
      <c r="C34" s="115"/>
      <c r="D34" s="72"/>
      <c r="E34" s="115"/>
      <c r="F34" s="72"/>
      <c r="G34" s="118">
        <v>200</v>
      </c>
    </row>
    <row r="35" spans="2:7" ht="12.75">
      <c r="B35" s="114" t="s">
        <v>161</v>
      </c>
      <c r="C35" s="115"/>
      <c r="D35" s="115"/>
      <c r="E35" s="115"/>
      <c r="F35" s="72"/>
      <c r="G35" s="118">
        <v>100</v>
      </c>
    </row>
    <row r="36" spans="2:7" ht="12.75">
      <c r="B36" s="114"/>
      <c r="C36" s="115"/>
      <c r="D36" s="72"/>
      <c r="E36" s="115"/>
      <c r="F36" s="72"/>
      <c r="G36" s="118"/>
    </row>
    <row r="37" spans="2:7" ht="12.75">
      <c r="B37" s="114"/>
      <c r="C37" s="115"/>
      <c r="D37" s="72"/>
      <c r="E37" s="115"/>
      <c r="F37" s="72"/>
      <c r="G37" s="118"/>
    </row>
    <row r="38" spans="2:7" ht="12.75">
      <c r="B38" s="114"/>
      <c r="C38" s="115"/>
      <c r="D38" s="72"/>
      <c r="E38" s="115"/>
      <c r="F38" s="72"/>
      <c r="G38" s="118"/>
    </row>
    <row r="39" spans="2:7" ht="12.75">
      <c r="B39" s="114"/>
      <c r="C39" s="115"/>
      <c r="D39" s="72"/>
      <c r="E39" s="115"/>
      <c r="F39" s="72"/>
      <c r="G39" s="118"/>
    </row>
    <row r="40" spans="2:7" ht="12.75">
      <c r="B40" s="114"/>
      <c r="C40" s="115"/>
      <c r="D40" s="72"/>
      <c r="E40" s="115"/>
      <c r="F40" s="72"/>
      <c r="G40" s="118"/>
    </row>
    <row r="41" spans="2:7" ht="12.75">
      <c r="B41" s="114"/>
      <c r="C41" s="115"/>
      <c r="D41" s="72"/>
      <c r="E41" s="115"/>
      <c r="F41" s="72"/>
      <c r="G41" s="118"/>
    </row>
    <row r="42" spans="2:7" ht="12.75">
      <c r="B42" s="175" t="s">
        <v>6</v>
      </c>
      <c r="C42" s="176"/>
      <c r="D42" s="176"/>
      <c r="E42" s="176"/>
      <c r="F42" s="176"/>
      <c r="G42" s="177">
        <f>SUM(G33:G41)</f>
        <v>1550</v>
      </c>
    </row>
    <row r="51" ht="12.75">
      <c r="G51" s="12">
        <f>G18+G29+G42</f>
        <v>15280</v>
      </c>
    </row>
  </sheetData>
  <sheetProtection selectLockedCells="1" selectUnlockedCells="1"/>
  <mergeCells count="3">
    <mergeCell ref="B3:G3"/>
    <mergeCell ref="B20:G20"/>
    <mergeCell ref="B31:G3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B1:AB50"/>
  <sheetViews>
    <sheetView zoomScale="90" zoomScaleNormal="90" workbookViewId="0" topLeftCell="A1">
      <selection activeCell="T51" sqref="T51"/>
    </sheetView>
  </sheetViews>
  <sheetFormatPr defaultColWidth="12.57421875" defaultRowHeight="12.75"/>
  <cols>
    <col min="1" max="8" width="11.57421875" style="0" customWidth="1"/>
    <col min="9" max="9" width="23.57421875" style="0" customWidth="1"/>
    <col min="10" max="12" width="11.57421875" style="0" customWidth="1"/>
    <col min="13" max="13" width="86.7109375" style="0" customWidth="1"/>
    <col min="14" max="14" width="19.28125" style="0" customWidth="1"/>
    <col min="15" max="15" width="7.8515625" style="0" customWidth="1"/>
    <col min="16" max="16" width="17.57421875" style="0" customWidth="1"/>
    <col min="17" max="22" width="11.57421875" style="0" customWidth="1"/>
    <col min="23" max="23" width="14.421875" style="0" customWidth="1"/>
    <col min="24" max="16384" width="11.57421875" style="0" customWidth="1"/>
  </cols>
  <sheetData>
    <row r="1" spans="15:21" ht="12.75" customHeight="1">
      <c r="O1" s="97"/>
      <c r="P1" s="98"/>
      <c r="Q1" s="98"/>
      <c r="R1" s="98"/>
      <c r="S1" s="98"/>
      <c r="T1" s="98"/>
      <c r="U1" s="98"/>
    </row>
    <row r="2" spans="15:28" ht="12.75" customHeight="1">
      <c r="O2" s="97"/>
      <c r="P2" s="98" t="s">
        <v>238</v>
      </c>
      <c r="Q2" s="98"/>
      <c r="R2" s="98"/>
      <c r="S2" s="98"/>
      <c r="T2" s="98"/>
      <c r="U2" s="98"/>
      <c r="W2" s="98" t="s">
        <v>239</v>
      </c>
      <c r="X2" s="98"/>
      <c r="Y2" s="98"/>
      <c r="Z2" s="98"/>
      <c r="AA2" s="98"/>
      <c r="AB2" s="98"/>
    </row>
    <row r="3" spans="2:28" ht="12.75" customHeight="1">
      <c r="B3" s="98" t="s">
        <v>1273</v>
      </c>
      <c r="C3" s="98"/>
      <c r="D3" s="98"/>
      <c r="E3" s="98"/>
      <c r="F3" s="98"/>
      <c r="G3" s="98"/>
      <c r="I3" s="111" t="s">
        <v>533</v>
      </c>
      <c r="J3" s="112" t="s">
        <v>534</v>
      </c>
      <c r="M3" t="s">
        <v>1274</v>
      </c>
      <c r="O3" s="97"/>
      <c r="P3" s="98" t="s">
        <v>1275</v>
      </c>
      <c r="Q3" s="98"/>
      <c r="R3" s="98"/>
      <c r="S3" s="98"/>
      <c r="T3" s="98"/>
      <c r="U3" s="98"/>
      <c r="W3" s="98" t="s">
        <v>1275</v>
      </c>
      <c r="X3" s="98"/>
      <c r="Y3" s="98"/>
      <c r="Z3" s="98"/>
      <c r="AA3" s="98"/>
      <c r="AB3" s="98"/>
    </row>
    <row r="4" spans="2:28" ht="12.75" customHeight="1">
      <c r="B4" s="125" t="s">
        <v>606</v>
      </c>
      <c r="C4" s="126"/>
      <c r="D4" s="126"/>
      <c r="E4" s="115" t="s">
        <v>1206</v>
      </c>
      <c r="F4" s="126" t="s">
        <v>583</v>
      </c>
      <c r="G4" s="152" t="s">
        <v>6</v>
      </c>
      <c r="I4" s="58" t="str">
        <f>B3</f>
        <v>Sewer Plumbing Rough In</v>
      </c>
      <c r="J4" s="276">
        <f>G10</f>
        <v>2471</v>
      </c>
      <c r="M4" s="277" t="s">
        <v>1276</v>
      </c>
      <c r="N4" s="278" t="s">
        <v>1277</v>
      </c>
      <c r="O4" s="45"/>
      <c r="P4" s="236" t="s">
        <v>1278</v>
      </c>
      <c r="Q4" s="98" t="s">
        <v>1279</v>
      </c>
      <c r="R4" s="98"/>
      <c r="S4" s="98"/>
      <c r="T4" s="98"/>
      <c r="U4" s="98"/>
      <c r="W4" s="236" t="s">
        <v>1278</v>
      </c>
      <c r="X4" s="98" t="s">
        <v>1279</v>
      </c>
      <c r="Y4" s="98"/>
      <c r="Z4" s="98"/>
      <c r="AA4" s="98"/>
      <c r="AB4" s="98"/>
    </row>
    <row r="5" spans="2:28" ht="12.75">
      <c r="B5" s="114"/>
      <c r="C5" s="115"/>
      <c r="D5" s="72"/>
      <c r="E5" s="115"/>
      <c r="F5" s="72"/>
      <c r="G5" s="118">
        <f>4942/2</f>
        <v>2471</v>
      </c>
      <c r="I5" s="42" t="str">
        <f>B12</f>
        <v>Water Pipe Rough In</v>
      </c>
      <c r="J5" s="56">
        <f>G19</f>
        <v>2471</v>
      </c>
      <c r="M5" s="102" t="s">
        <v>1280</v>
      </c>
      <c r="N5" s="102">
        <v>1</v>
      </c>
      <c r="O5" s="45"/>
      <c r="P5" s="98"/>
      <c r="Q5" s="98" t="s">
        <v>1281</v>
      </c>
      <c r="R5" s="98" t="s">
        <v>1282</v>
      </c>
      <c r="S5" s="98" t="s">
        <v>1283</v>
      </c>
      <c r="T5" s="98" t="s">
        <v>607</v>
      </c>
      <c r="U5" s="279" t="s">
        <v>1284</v>
      </c>
      <c r="W5" s="98"/>
      <c r="X5" s="98" t="s">
        <v>1281</v>
      </c>
      <c r="Y5" s="98" t="s">
        <v>1282</v>
      </c>
      <c r="Z5" s="98" t="s">
        <v>1283</v>
      </c>
      <c r="AA5" s="98" t="s">
        <v>607</v>
      </c>
      <c r="AB5" s="279" t="s">
        <v>1284</v>
      </c>
    </row>
    <row r="6" spans="2:28" ht="12.75">
      <c r="B6" s="114"/>
      <c r="C6" s="115"/>
      <c r="D6" s="72"/>
      <c r="E6" s="115"/>
      <c r="F6" s="72"/>
      <c r="G6" s="118"/>
      <c r="I6" s="42" t="str">
        <f>B21</f>
        <v>Gas Pipe Rough In</v>
      </c>
      <c r="J6" s="56">
        <f>G28</f>
        <v>275</v>
      </c>
      <c r="M6" s="102" t="s">
        <v>1285</v>
      </c>
      <c r="N6" s="102">
        <v>2</v>
      </c>
      <c r="O6" s="45"/>
      <c r="P6" s="102" t="s">
        <v>1286</v>
      </c>
      <c r="Q6" s="280">
        <v>1</v>
      </c>
      <c r="R6" s="280">
        <v>1</v>
      </c>
      <c r="S6" s="280">
        <v>1.4</v>
      </c>
      <c r="T6" s="280">
        <v>0</v>
      </c>
      <c r="U6" s="280">
        <f>S6*T6</f>
        <v>0</v>
      </c>
      <c r="W6" s="102" t="s">
        <v>1286</v>
      </c>
      <c r="X6" s="280">
        <v>1</v>
      </c>
      <c r="Y6" s="280">
        <v>1</v>
      </c>
      <c r="Z6" s="280">
        <v>1.4</v>
      </c>
      <c r="AA6" s="280">
        <v>0</v>
      </c>
      <c r="AB6" s="280">
        <f>Z6*AA6</f>
        <v>0</v>
      </c>
    </row>
    <row r="7" spans="2:28" ht="12.75">
      <c r="B7" s="114"/>
      <c r="C7" s="115"/>
      <c r="D7" s="115"/>
      <c r="E7" s="115"/>
      <c r="F7" s="72"/>
      <c r="G7" s="118"/>
      <c r="I7" s="42"/>
      <c r="J7" s="113"/>
      <c r="M7" s="102" t="s">
        <v>1287</v>
      </c>
      <c r="N7" s="102">
        <v>1</v>
      </c>
      <c r="O7" s="45"/>
      <c r="P7" s="102" t="s">
        <v>1288</v>
      </c>
      <c r="Q7" s="280">
        <v>1</v>
      </c>
      <c r="R7" s="280">
        <v>1</v>
      </c>
      <c r="S7" s="280">
        <v>1.4</v>
      </c>
      <c r="T7" s="280">
        <v>1</v>
      </c>
      <c r="U7" s="280">
        <f>S7*T7</f>
        <v>1.4</v>
      </c>
      <c r="W7" s="102" t="s">
        <v>1288</v>
      </c>
      <c r="X7" s="280">
        <v>1</v>
      </c>
      <c r="Y7" s="280">
        <v>1</v>
      </c>
      <c r="Z7" s="280">
        <v>1.4</v>
      </c>
      <c r="AA7" s="280">
        <v>1</v>
      </c>
      <c r="AB7" s="280">
        <f>Z7*AA7</f>
        <v>1.4</v>
      </c>
    </row>
    <row r="8" spans="2:28" ht="12.75">
      <c r="B8" s="114"/>
      <c r="C8" s="115"/>
      <c r="D8" s="72"/>
      <c r="E8" s="115"/>
      <c r="F8" s="72"/>
      <c r="G8" s="118"/>
      <c r="I8" s="42"/>
      <c r="J8" s="113"/>
      <c r="M8" s="102" t="s">
        <v>1289</v>
      </c>
      <c r="N8" s="102">
        <v>2</v>
      </c>
      <c r="O8" s="45"/>
      <c r="P8" s="102" t="s">
        <v>1290</v>
      </c>
      <c r="Q8" s="280">
        <v>1.4</v>
      </c>
      <c r="R8" s="280" t="s">
        <v>242</v>
      </c>
      <c r="S8" s="280">
        <v>1.4</v>
      </c>
      <c r="T8" s="280">
        <v>0</v>
      </c>
      <c r="U8" s="280">
        <f>S8*T8</f>
        <v>0</v>
      </c>
      <c r="W8" s="102" t="s">
        <v>1290</v>
      </c>
      <c r="X8" s="280">
        <v>1.4</v>
      </c>
      <c r="Y8" s="280" t="s">
        <v>242</v>
      </c>
      <c r="Z8" s="280">
        <v>1.4</v>
      </c>
      <c r="AA8" s="280">
        <v>0</v>
      </c>
      <c r="AB8" s="280">
        <f>Z8*AA8</f>
        <v>0</v>
      </c>
    </row>
    <row r="9" spans="2:28" ht="12.75">
      <c r="B9" s="114"/>
      <c r="C9" s="115"/>
      <c r="D9" s="72"/>
      <c r="E9" s="115"/>
      <c r="F9" s="72"/>
      <c r="G9" s="118"/>
      <c r="I9" s="123" t="s">
        <v>6</v>
      </c>
      <c r="J9" s="124">
        <f>SUM(J4:J8)</f>
        <v>5217</v>
      </c>
      <c r="M9" s="102" t="s">
        <v>217</v>
      </c>
      <c r="N9" s="102">
        <v>2</v>
      </c>
      <c r="O9" s="45"/>
      <c r="P9" s="102" t="s">
        <v>1291</v>
      </c>
      <c r="Q9" s="280">
        <v>1.5</v>
      </c>
      <c r="R9" s="280">
        <v>2.7</v>
      </c>
      <c r="S9" s="280">
        <v>3.6</v>
      </c>
      <c r="T9" s="280">
        <v>4</v>
      </c>
      <c r="U9" s="280">
        <f>S9*T9</f>
        <v>14.4</v>
      </c>
      <c r="W9" s="102" t="s">
        <v>1291</v>
      </c>
      <c r="X9" s="280">
        <v>1.5</v>
      </c>
      <c r="Y9" s="280">
        <v>2.7</v>
      </c>
      <c r="Z9" s="280">
        <v>3.6</v>
      </c>
      <c r="AA9" s="280">
        <v>1</v>
      </c>
      <c r="AB9" s="280">
        <f>Z9*AA9</f>
        <v>3.6</v>
      </c>
    </row>
    <row r="10" spans="2:28" ht="12.75">
      <c r="B10" s="175" t="s">
        <v>6</v>
      </c>
      <c r="C10" s="176"/>
      <c r="D10" s="176"/>
      <c r="E10" s="176"/>
      <c r="F10" s="176"/>
      <c r="G10" s="177">
        <f>SUM(G5:G9)</f>
        <v>2471</v>
      </c>
      <c r="M10" s="102" t="s">
        <v>1292</v>
      </c>
      <c r="N10" s="102">
        <v>0</v>
      </c>
      <c r="O10" s="45"/>
      <c r="P10" s="102" t="s">
        <v>1293</v>
      </c>
      <c r="Q10" s="280">
        <v>0.5</v>
      </c>
      <c r="R10" s="280">
        <v>2.5</v>
      </c>
      <c r="S10" s="280">
        <v>2.6</v>
      </c>
      <c r="T10" s="280">
        <v>0</v>
      </c>
      <c r="U10" s="280">
        <f>S10*T10</f>
        <v>0</v>
      </c>
      <c r="W10" s="102" t="s">
        <v>1293</v>
      </c>
      <c r="X10" s="280">
        <v>0.5</v>
      </c>
      <c r="Y10" s="280">
        <v>2.5</v>
      </c>
      <c r="Z10" s="280">
        <v>2.6</v>
      </c>
      <c r="AA10" s="280">
        <v>0</v>
      </c>
      <c r="AB10" s="280">
        <f>Z10*AA10</f>
        <v>0</v>
      </c>
    </row>
    <row r="11" spans="13:28" ht="12.75">
      <c r="M11" s="102" t="s">
        <v>1294</v>
      </c>
      <c r="N11" s="102">
        <v>2</v>
      </c>
      <c r="O11" s="45"/>
      <c r="P11" s="102" t="s">
        <v>1295</v>
      </c>
      <c r="Q11" s="280" t="s">
        <v>242</v>
      </c>
      <c r="R11" s="280">
        <v>2.5</v>
      </c>
      <c r="S11" s="280">
        <v>2.5</v>
      </c>
      <c r="T11" s="280">
        <v>5</v>
      </c>
      <c r="U11" s="280">
        <f>S11*T11</f>
        <v>12.5</v>
      </c>
      <c r="W11" s="102" t="s">
        <v>1295</v>
      </c>
      <c r="X11" s="280" t="s">
        <v>242</v>
      </c>
      <c r="Y11" s="280">
        <v>2.5</v>
      </c>
      <c r="Z11" s="280">
        <v>2.5</v>
      </c>
      <c r="AA11" s="280">
        <v>2</v>
      </c>
      <c r="AB11" s="280">
        <f>Z11*AA11</f>
        <v>5</v>
      </c>
    </row>
    <row r="12" spans="2:28" ht="12.75" customHeight="1">
      <c r="B12" s="98" t="s">
        <v>1296</v>
      </c>
      <c r="C12" s="98"/>
      <c r="D12" s="98"/>
      <c r="E12" s="98"/>
      <c r="F12" s="98"/>
      <c r="G12" s="98"/>
      <c r="M12" s="102" t="s">
        <v>1297</v>
      </c>
      <c r="N12" s="102">
        <v>1</v>
      </c>
      <c r="O12" s="45"/>
      <c r="P12" s="102" t="s">
        <v>1298</v>
      </c>
      <c r="Q12" s="280">
        <v>1.9</v>
      </c>
      <c r="R12" s="280">
        <v>1</v>
      </c>
      <c r="S12" s="280">
        <v>2.5</v>
      </c>
      <c r="T12" s="280">
        <v>1</v>
      </c>
      <c r="U12" s="280">
        <f>S12*T12</f>
        <v>2.5</v>
      </c>
      <c r="W12" s="102" t="s">
        <v>1298</v>
      </c>
      <c r="X12" s="280">
        <v>1.9</v>
      </c>
      <c r="Y12" s="280">
        <v>1</v>
      </c>
      <c r="Z12" s="280">
        <v>2.5</v>
      </c>
      <c r="AA12" s="280">
        <v>1</v>
      </c>
      <c r="AB12" s="280">
        <f>Z12*AA12</f>
        <v>2.5</v>
      </c>
    </row>
    <row r="13" spans="2:28" ht="12.75">
      <c r="B13" s="125" t="s">
        <v>606</v>
      </c>
      <c r="C13" s="126"/>
      <c r="D13" s="126"/>
      <c r="E13" s="115" t="s">
        <v>1206</v>
      </c>
      <c r="F13" s="126" t="s">
        <v>583</v>
      </c>
      <c r="G13" s="152" t="s">
        <v>6</v>
      </c>
      <c r="M13" s="102" t="s">
        <v>1299</v>
      </c>
      <c r="N13" s="102">
        <v>2</v>
      </c>
      <c r="O13" s="45"/>
      <c r="P13" s="102" t="s">
        <v>1300</v>
      </c>
      <c r="Q13" s="280">
        <v>1</v>
      </c>
      <c r="R13" s="280">
        <v>1</v>
      </c>
      <c r="S13" s="280">
        <v>1.4</v>
      </c>
      <c r="T13" s="280">
        <v>0</v>
      </c>
      <c r="U13" s="280">
        <f>S13*T13</f>
        <v>0</v>
      </c>
      <c r="W13" s="102" t="s">
        <v>1300</v>
      </c>
      <c r="X13" s="280">
        <v>1</v>
      </c>
      <c r="Y13" s="280">
        <v>1</v>
      </c>
      <c r="Z13" s="280">
        <v>1.4</v>
      </c>
      <c r="AA13" s="280">
        <v>0</v>
      </c>
      <c r="AB13" s="280">
        <f>Z13*AA13</f>
        <v>0</v>
      </c>
    </row>
    <row r="14" spans="2:28" ht="12.75">
      <c r="B14" s="114"/>
      <c r="C14" s="115"/>
      <c r="D14" s="72"/>
      <c r="E14" s="115"/>
      <c r="F14" s="72"/>
      <c r="G14" s="118">
        <f>4942/2</f>
        <v>2471</v>
      </c>
      <c r="M14" s="102" t="s">
        <v>1301</v>
      </c>
      <c r="N14" s="102">
        <v>2</v>
      </c>
      <c r="O14" s="45"/>
      <c r="P14" s="102" t="s">
        <v>1302</v>
      </c>
      <c r="Q14" s="280">
        <v>1.8</v>
      </c>
      <c r="R14" s="280">
        <v>1.8</v>
      </c>
      <c r="S14" s="280">
        <v>2.5</v>
      </c>
      <c r="T14" s="280">
        <v>1</v>
      </c>
      <c r="U14" s="280">
        <f>S14*T14</f>
        <v>2.5</v>
      </c>
      <c r="W14" s="102" t="s">
        <v>1302</v>
      </c>
      <c r="X14" s="280">
        <v>1.8</v>
      </c>
      <c r="Y14" s="280">
        <v>1.8</v>
      </c>
      <c r="Z14" s="280">
        <v>2.5</v>
      </c>
      <c r="AA14" s="280">
        <v>1</v>
      </c>
      <c r="AB14" s="280">
        <f>Z14*AA14</f>
        <v>2.5</v>
      </c>
    </row>
    <row r="15" spans="2:28" ht="12.75">
      <c r="B15" s="114"/>
      <c r="C15" s="115"/>
      <c r="D15" s="72"/>
      <c r="E15" s="115"/>
      <c r="F15" s="72"/>
      <c r="G15" s="118"/>
      <c r="M15" s="102" t="s">
        <v>1303</v>
      </c>
      <c r="N15" s="102">
        <v>3</v>
      </c>
      <c r="O15" s="45"/>
      <c r="P15" s="102" t="s">
        <v>1304</v>
      </c>
      <c r="Q15" s="280">
        <v>1</v>
      </c>
      <c r="R15" s="280">
        <v>1</v>
      </c>
      <c r="S15" s="280">
        <v>1.4</v>
      </c>
      <c r="T15" s="280">
        <v>0</v>
      </c>
      <c r="U15" s="280">
        <f>S15*T15</f>
        <v>0</v>
      </c>
      <c r="W15" s="102" t="s">
        <v>1304</v>
      </c>
      <c r="X15" s="280">
        <v>1</v>
      </c>
      <c r="Y15" s="280">
        <v>1</v>
      </c>
      <c r="Z15" s="280">
        <v>1.4</v>
      </c>
      <c r="AA15" s="280">
        <v>1</v>
      </c>
      <c r="AB15" s="280">
        <f>Z15*AA15</f>
        <v>1.4</v>
      </c>
    </row>
    <row r="16" spans="2:28" ht="12.75">
      <c r="B16" s="114"/>
      <c r="C16" s="115"/>
      <c r="D16" s="115"/>
      <c r="E16" s="115"/>
      <c r="F16" s="72"/>
      <c r="G16" s="118"/>
      <c r="M16" s="102" t="s">
        <v>1305</v>
      </c>
      <c r="N16" s="102">
        <v>4</v>
      </c>
      <c r="O16" s="45"/>
      <c r="P16" s="102" t="s">
        <v>1306</v>
      </c>
      <c r="Q16" s="280">
        <v>0.5</v>
      </c>
      <c r="R16" s="280">
        <v>0.5</v>
      </c>
      <c r="S16" s="280">
        <v>0.7</v>
      </c>
      <c r="T16" s="280">
        <v>0</v>
      </c>
      <c r="U16" s="280">
        <f>S16*T16</f>
        <v>0</v>
      </c>
      <c r="W16" s="102" t="s">
        <v>1306</v>
      </c>
      <c r="X16" s="280">
        <v>0.5</v>
      </c>
      <c r="Y16" s="280">
        <v>0.5</v>
      </c>
      <c r="Z16" s="280">
        <v>0.7</v>
      </c>
      <c r="AA16" s="280">
        <v>0</v>
      </c>
      <c r="AB16" s="280">
        <f>Z16*AA16</f>
        <v>0</v>
      </c>
    </row>
    <row r="17" spans="2:28" ht="12.75">
      <c r="B17" s="114"/>
      <c r="C17" s="115"/>
      <c r="D17" s="72"/>
      <c r="E17" s="115"/>
      <c r="F17" s="72"/>
      <c r="G17" s="118"/>
      <c r="M17" s="102" t="s">
        <v>1307</v>
      </c>
      <c r="N17" s="102">
        <v>5</v>
      </c>
      <c r="O17" s="45"/>
      <c r="P17" s="102" t="s">
        <v>1308</v>
      </c>
      <c r="Q17" s="280">
        <v>1</v>
      </c>
      <c r="R17" s="280">
        <v>1</v>
      </c>
      <c r="S17" s="280">
        <v>1.4</v>
      </c>
      <c r="T17" s="280">
        <v>0</v>
      </c>
      <c r="U17" s="280">
        <f>S17*T17</f>
        <v>0</v>
      </c>
      <c r="W17" s="102" t="s">
        <v>1308</v>
      </c>
      <c r="X17" s="280">
        <v>1</v>
      </c>
      <c r="Y17" s="280">
        <v>1</v>
      </c>
      <c r="Z17" s="280">
        <v>1.4</v>
      </c>
      <c r="AA17" s="280">
        <v>0</v>
      </c>
      <c r="AB17" s="280">
        <f>Z17*AA17</f>
        <v>0</v>
      </c>
    </row>
    <row r="18" spans="2:28" ht="12.75">
      <c r="B18" s="114"/>
      <c r="C18" s="115"/>
      <c r="D18" s="72"/>
      <c r="E18" s="115"/>
      <c r="F18" s="72"/>
      <c r="G18" s="118"/>
      <c r="M18" s="102" t="s">
        <v>1309</v>
      </c>
      <c r="N18" s="102">
        <v>6</v>
      </c>
      <c r="O18" s="45"/>
      <c r="P18" s="102" t="s">
        <v>1310</v>
      </c>
      <c r="Q18" s="280" t="s">
        <v>242</v>
      </c>
      <c r="R18" s="280">
        <v>2.2</v>
      </c>
      <c r="S18" s="280">
        <v>2.2</v>
      </c>
      <c r="T18" s="280">
        <v>0</v>
      </c>
      <c r="U18" s="280">
        <f>S18*T18</f>
        <v>0</v>
      </c>
      <c r="W18" s="102" t="s">
        <v>1310</v>
      </c>
      <c r="X18" s="280" t="s">
        <v>242</v>
      </c>
      <c r="Y18" s="280">
        <v>2.2</v>
      </c>
      <c r="Z18" s="280">
        <v>2.2</v>
      </c>
      <c r="AA18" s="280">
        <v>0</v>
      </c>
      <c r="AB18" s="280">
        <f>Z18*AA18</f>
        <v>0</v>
      </c>
    </row>
    <row r="19" spans="2:28" ht="12.75">
      <c r="B19" s="175" t="s">
        <v>6</v>
      </c>
      <c r="C19" s="176"/>
      <c r="D19" s="176"/>
      <c r="E19" s="176"/>
      <c r="F19" s="176"/>
      <c r="G19" s="177">
        <f>SUM(G14:G18)</f>
        <v>2471</v>
      </c>
      <c r="M19" s="102" t="s">
        <v>1311</v>
      </c>
      <c r="N19" s="102">
        <v>4</v>
      </c>
      <c r="O19" s="45"/>
      <c r="P19" s="102"/>
      <c r="Q19" s="102"/>
      <c r="R19" s="102"/>
      <c r="S19" s="102"/>
      <c r="T19" s="102"/>
      <c r="U19" s="102"/>
      <c r="W19" s="102"/>
      <c r="X19" s="102"/>
      <c r="Y19" s="102"/>
      <c r="Z19" s="102"/>
      <c r="AA19" s="102"/>
      <c r="AB19" s="102"/>
    </row>
    <row r="20" spans="13:28" ht="12.75">
      <c r="M20" s="102" t="s">
        <v>1312</v>
      </c>
      <c r="N20" s="102">
        <v>5</v>
      </c>
      <c r="O20" s="45"/>
      <c r="P20" s="102" t="s">
        <v>1313</v>
      </c>
      <c r="Q20" s="102"/>
      <c r="R20" s="102"/>
      <c r="S20" s="102"/>
      <c r="T20" s="102"/>
      <c r="U20" s="102">
        <f>SUM(U6:U18)</f>
        <v>33.3</v>
      </c>
      <c r="W20" s="102" t="s">
        <v>1313</v>
      </c>
      <c r="X20" s="102"/>
      <c r="Y20" s="102"/>
      <c r="Z20" s="102"/>
      <c r="AA20" s="102"/>
      <c r="AB20" s="102">
        <f>SUM(AB6:AB18)</f>
        <v>16.4</v>
      </c>
    </row>
    <row r="21" spans="2:28" ht="12.75" customHeight="1">
      <c r="B21" s="98" t="s">
        <v>1314</v>
      </c>
      <c r="C21" s="98"/>
      <c r="D21" s="98"/>
      <c r="E21" s="98"/>
      <c r="F21" s="98"/>
      <c r="G21" s="98"/>
      <c r="M21" s="102" t="s">
        <v>1315</v>
      </c>
      <c r="N21" s="102">
        <v>2</v>
      </c>
      <c r="O21" s="45"/>
      <c r="P21" s="102" t="s">
        <v>1316</v>
      </c>
      <c r="Q21" s="102"/>
      <c r="R21" s="102"/>
      <c r="S21" s="102"/>
      <c r="T21" s="102"/>
      <c r="U21" s="280">
        <v>40</v>
      </c>
      <c r="W21" s="102" t="s">
        <v>1316</v>
      </c>
      <c r="X21" s="102"/>
      <c r="Y21" s="102"/>
      <c r="Z21" s="102"/>
      <c r="AA21" s="102"/>
      <c r="AB21" s="280">
        <v>40</v>
      </c>
    </row>
    <row r="22" spans="2:28" ht="12.75">
      <c r="B22" s="125" t="s">
        <v>606</v>
      </c>
      <c r="C22" s="126"/>
      <c r="D22" s="126"/>
      <c r="E22" s="115" t="s">
        <v>1206</v>
      </c>
      <c r="F22" s="126" t="s">
        <v>583</v>
      </c>
      <c r="G22" s="152" t="s">
        <v>6</v>
      </c>
      <c r="M22" s="102" t="s">
        <v>1317</v>
      </c>
      <c r="N22" s="102">
        <v>3</v>
      </c>
      <c r="O22" s="45"/>
      <c r="P22" s="102" t="s">
        <v>1318</v>
      </c>
      <c r="Q22" s="102"/>
      <c r="R22" s="102"/>
      <c r="S22" s="102"/>
      <c r="T22" s="102"/>
      <c r="U22" s="102">
        <v>121</v>
      </c>
      <c r="W22" s="102" t="s">
        <v>1319</v>
      </c>
      <c r="X22" s="102"/>
      <c r="Y22" s="102"/>
      <c r="Z22" s="102"/>
      <c r="AA22" s="102"/>
      <c r="AB22" s="102">
        <v>70</v>
      </c>
    </row>
    <row r="23" spans="2:21" ht="12.75">
      <c r="B23" s="114"/>
      <c r="C23" s="115"/>
      <c r="D23" s="72"/>
      <c r="E23" s="115"/>
      <c r="F23" s="72"/>
      <c r="G23" s="118">
        <v>275</v>
      </c>
      <c r="M23" s="281" t="s">
        <v>1320</v>
      </c>
      <c r="N23" s="281"/>
      <c r="O23" s="45"/>
      <c r="P23" s="45"/>
      <c r="Q23" s="45"/>
      <c r="R23" s="45"/>
      <c r="S23" s="45"/>
      <c r="T23" s="45"/>
      <c r="U23" s="45"/>
    </row>
    <row r="24" spans="2:21" ht="12.75">
      <c r="B24" s="114"/>
      <c r="C24" s="115"/>
      <c r="D24" s="72"/>
      <c r="E24" s="115"/>
      <c r="F24" s="72"/>
      <c r="G24" s="118"/>
      <c r="M24" s="282" t="s">
        <v>1321</v>
      </c>
      <c r="N24" s="282">
        <v>7</v>
      </c>
      <c r="O24" s="45"/>
      <c r="P24" s="45"/>
      <c r="Q24" s="45"/>
      <c r="R24" s="45"/>
      <c r="S24" s="45"/>
      <c r="T24" s="45"/>
      <c r="U24" s="45"/>
    </row>
    <row r="25" spans="2:21" ht="12.75">
      <c r="B25" s="114"/>
      <c r="C25" s="115"/>
      <c r="D25" s="115"/>
      <c r="E25" s="115"/>
      <c r="F25" s="72"/>
      <c r="G25" s="118"/>
      <c r="M25" s="282" t="s">
        <v>1322</v>
      </c>
      <c r="N25" s="282">
        <v>8</v>
      </c>
      <c r="O25" s="45"/>
      <c r="P25" s="45"/>
      <c r="Q25" s="45"/>
      <c r="R25" s="45"/>
      <c r="S25" s="45"/>
      <c r="T25" s="45"/>
      <c r="U25" s="45"/>
    </row>
    <row r="26" spans="2:21" ht="12.75">
      <c r="B26" s="114"/>
      <c r="C26" s="115"/>
      <c r="D26" s="72"/>
      <c r="E26" s="115"/>
      <c r="F26" s="72"/>
      <c r="G26" s="118"/>
      <c r="M26" s="282" t="s">
        <v>1323</v>
      </c>
      <c r="N26" s="282">
        <v>9</v>
      </c>
      <c r="O26" s="45"/>
      <c r="P26" s="45"/>
      <c r="Q26" s="45"/>
      <c r="R26" s="45"/>
      <c r="S26" s="45"/>
      <c r="T26" s="45"/>
      <c r="U26" s="45"/>
    </row>
    <row r="27" spans="2:21" ht="12.75">
      <c r="B27" s="114"/>
      <c r="C27" s="115"/>
      <c r="D27" s="72"/>
      <c r="E27" s="115"/>
      <c r="F27" s="72"/>
      <c r="G27" s="118"/>
      <c r="M27" s="282" t="s">
        <v>1324</v>
      </c>
      <c r="N27" s="282">
        <v>10</v>
      </c>
      <c r="O27" s="45"/>
      <c r="P27" s="45"/>
      <c r="Q27" s="45"/>
      <c r="R27" s="45"/>
      <c r="S27" s="45"/>
      <c r="T27" s="45"/>
      <c r="U27" s="45"/>
    </row>
    <row r="28" spans="2:21" ht="12.75">
      <c r="B28" s="175" t="s">
        <v>6</v>
      </c>
      <c r="C28" s="176"/>
      <c r="D28" s="176"/>
      <c r="E28" s="176"/>
      <c r="F28" s="176"/>
      <c r="G28" s="177">
        <f>SUM(G23:G27)</f>
        <v>275</v>
      </c>
      <c r="M28" s="283" t="s">
        <v>1325</v>
      </c>
      <c r="N28" s="283">
        <v>11</v>
      </c>
      <c r="O28" s="45"/>
      <c r="P28" s="45"/>
      <c r="Q28" s="45"/>
      <c r="R28" s="45"/>
      <c r="S28" s="45"/>
      <c r="T28" s="45"/>
      <c r="U28" s="45"/>
    </row>
    <row r="29" spans="14:21" ht="12.75">
      <c r="N29" s="72"/>
      <c r="P29" s="45"/>
      <c r="Q29" s="45"/>
      <c r="R29" s="45"/>
      <c r="S29" s="45"/>
      <c r="T29" s="45"/>
      <c r="U29" s="45"/>
    </row>
    <row r="30" spans="14:22" ht="12.75" customHeight="1">
      <c r="N30" s="72"/>
      <c r="P30" s="96" t="s">
        <v>238</v>
      </c>
      <c r="Q30" s="96"/>
      <c r="R30" s="96"/>
      <c r="S30" s="96"/>
      <c r="T30" s="96"/>
      <c r="U30" s="96"/>
      <c r="V30" s="96" t="s">
        <v>1326</v>
      </c>
    </row>
    <row r="31" spans="14:16" ht="12.75">
      <c r="N31" s="72"/>
      <c r="P31" s="108" t="s">
        <v>1327</v>
      </c>
    </row>
    <row r="32" spans="7:21" ht="12.75">
      <c r="G32" s="12">
        <f>G10+G19+G28</f>
        <v>5217</v>
      </c>
      <c r="N32" s="72"/>
      <c r="P32" t="s">
        <v>1328</v>
      </c>
      <c r="Q32" t="s">
        <v>1329</v>
      </c>
      <c r="R32" t="s">
        <v>1330</v>
      </c>
      <c r="S32" t="s">
        <v>1331</v>
      </c>
      <c r="T32" t="s">
        <v>1332</v>
      </c>
      <c r="U32" t="s">
        <v>1333</v>
      </c>
    </row>
    <row r="33" spans="14:21" ht="12.75">
      <c r="N33" s="72"/>
      <c r="P33" t="s">
        <v>1334</v>
      </c>
      <c r="Q33" s="284">
        <f>Q35+Q34</f>
        <v>401900</v>
      </c>
      <c r="R33" t="s">
        <v>897</v>
      </c>
      <c r="S33" t="s">
        <v>1335</v>
      </c>
      <c r="T33" s="284">
        <v>632000</v>
      </c>
      <c r="U33">
        <v>0.5</v>
      </c>
    </row>
    <row r="34" spans="16:21" ht="12.75">
      <c r="P34" t="s">
        <v>1336</v>
      </c>
      <c r="Q34" s="284">
        <v>40000</v>
      </c>
      <c r="R34" t="s">
        <v>1337</v>
      </c>
      <c r="S34" t="s">
        <v>1338</v>
      </c>
      <c r="T34" s="284">
        <v>122000</v>
      </c>
      <c r="U34">
        <v>1</v>
      </c>
    </row>
    <row r="35" spans="16:21" ht="12.75">
      <c r="P35" t="s">
        <v>1339</v>
      </c>
      <c r="Q35" s="284">
        <f>Q36+50000</f>
        <v>361900</v>
      </c>
      <c r="R35" t="s">
        <v>1340</v>
      </c>
      <c r="S35" t="s">
        <v>1335</v>
      </c>
      <c r="T35" s="284">
        <v>632000</v>
      </c>
      <c r="U35">
        <v>1</v>
      </c>
    </row>
    <row r="36" spans="16:21" ht="12.75">
      <c r="P36" t="s">
        <v>1341</v>
      </c>
      <c r="Q36" s="284">
        <f>Q37+87000</f>
        <v>311900</v>
      </c>
      <c r="R36" t="s">
        <v>1342</v>
      </c>
      <c r="S36" t="s">
        <v>1343</v>
      </c>
      <c r="T36" s="284">
        <v>608000</v>
      </c>
      <c r="U36">
        <v>1.5</v>
      </c>
    </row>
    <row r="37" spans="16:21" ht="12.75">
      <c r="P37" t="s">
        <v>1344</v>
      </c>
      <c r="Q37" s="284">
        <f>Q38+25000</f>
        <v>224900</v>
      </c>
      <c r="R37" t="s">
        <v>826</v>
      </c>
      <c r="S37" t="s">
        <v>1343</v>
      </c>
      <c r="T37" s="284">
        <v>418000</v>
      </c>
      <c r="U37">
        <v>2</v>
      </c>
    </row>
    <row r="38" spans="16:21" ht="12.75">
      <c r="P38" t="s">
        <v>1345</v>
      </c>
      <c r="Q38" s="284">
        <v>199900</v>
      </c>
      <c r="R38" t="s">
        <v>1346</v>
      </c>
      <c r="S38" t="s">
        <v>1338</v>
      </c>
      <c r="T38" s="284">
        <v>291000</v>
      </c>
      <c r="U38">
        <v>2.5</v>
      </c>
    </row>
    <row r="41" spans="10:12" ht="12.75">
      <c r="J41">
        <v>10</v>
      </c>
      <c r="K41">
        <v>608</v>
      </c>
      <c r="L41" s="22">
        <f>K41/J41</f>
        <v>60.8</v>
      </c>
    </row>
    <row r="42" spans="10:22" ht="12.75">
      <c r="J42">
        <v>20</v>
      </c>
      <c r="K42">
        <v>418</v>
      </c>
      <c r="L42" s="22">
        <f>K42/J42</f>
        <v>20.9</v>
      </c>
      <c r="P42" s="96" t="s">
        <v>238</v>
      </c>
      <c r="Q42" s="96"/>
      <c r="R42" s="96"/>
      <c r="S42" s="96"/>
      <c r="T42" s="96"/>
      <c r="U42" s="96"/>
      <c r="V42" s="96" t="s">
        <v>1326</v>
      </c>
    </row>
    <row r="43" spans="10:16" ht="12.75">
      <c r="J43">
        <v>30</v>
      </c>
      <c r="K43">
        <v>336</v>
      </c>
      <c r="L43" s="22">
        <f>K43/J43</f>
        <v>11.2</v>
      </c>
      <c r="P43" s="108" t="s">
        <v>1327</v>
      </c>
    </row>
    <row r="44" spans="10:21" ht="12.75">
      <c r="J44">
        <v>40</v>
      </c>
      <c r="K44">
        <v>287</v>
      </c>
      <c r="L44" s="22">
        <f>K44/J44</f>
        <v>7.175</v>
      </c>
      <c r="P44" t="s">
        <v>1328</v>
      </c>
      <c r="Q44" t="s">
        <v>1329</v>
      </c>
      <c r="R44" t="s">
        <v>1330</v>
      </c>
      <c r="S44" t="s">
        <v>1331</v>
      </c>
      <c r="T44" t="s">
        <v>1332</v>
      </c>
      <c r="U44" t="s">
        <v>1333</v>
      </c>
    </row>
    <row r="45" spans="10:21" ht="12.75">
      <c r="J45">
        <v>50</v>
      </c>
      <c r="K45">
        <v>255</v>
      </c>
      <c r="L45" s="22">
        <f>K45/J45</f>
        <v>5.1</v>
      </c>
      <c r="P45" t="s">
        <v>1334</v>
      </c>
      <c r="Q45" s="284">
        <f>Q46+Q47</f>
        <v>299900</v>
      </c>
      <c r="R45" t="s">
        <v>1347</v>
      </c>
      <c r="S45" t="s">
        <v>1335</v>
      </c>
      <c r="T45" s="284">
        <v>375000</v>
      </c>
      <c r="U45">
        <v>0.5</v>
      </c>
    </row>
    <row r="46" spans="10:21" ht="12.75">
      <c r="J46">
        <v>60</v>
      </c>
      <c r="K46">
        <v>231</v>
      </c>
      <c r="L46" s="22">
        <f>K46/J46</f>
        <v>3.85</v>
      </c>
      <c r="P46" t="s">
        <v>1336</v>
      </c>
      <c r="Q46" s="284">
        <v>65000</v>
      </c>
      <c r="R46" t="s">
        <v>1348</v>
      </c>
      <c r="S46" t="s">
        <v>1338</v>
      </c>
      <c r="T46" s="284">
        <v>291000</v>
      </c>
      <c r="U46">
        <v>1</v>
      </c>
    </row>
    <row r="47" spans="10:21" ht="12.75">
      <c r="J47">
        <v>70</v>
      </c>
      <c r="K47">
        <v>213</v>
      </c>
      <c r="L47" s="22">
        <f>K47/J47</f>
        <v>3.0428571428571427</v>
      </c>
      <c r="P47" t="s">
        <v>1339</v>
      </c>
      <c r="Q47" s="284">
        <f>199900+Q48</f>
        <v>234900</v>
      </c>
      <c r="R47" t="s">
        <v>1349</v>
      </c>
      <c r="S47" t="s">
        <v>1350</v>
      </c>
      <c r="T47" s="284">
        <v>418000</v>
      </c>
      <c r="U47">
        <v>1</v>
      </c>
    </row>
    <row r="48" spans="10:21" ht="12.75">
      <c r="J48">
        <v>80</v>
      </c>
      <c r="K48">
        <v>197</v>
      </c>
      <c r="L48" s="22">
        <f>K48/J48</f>
        <v>2.4625</v>
      </c>
      <c r="P48" t="s">
        <v>1341</v>
      </c>
      <c r="Q48" s="284">
        <v>35000</v>
      </c>
      <c r="R48" t="s">
        <v>1342</v>
      </c>
      <c r="S48" t="s">
        <v>1338</v>
      </c>
      <c r="T48" s="284">
        <v>291000</v>
      </c>
      <c r="U48">
        <v>1.5</v>
      </c>
    </row>
    <row r="49" spans="17:20" ht="12.75">
      <c r="Q49" s="284"/>
      <c r="T49" s="284"/>
    </row>
    <row r="50" spans="17:20" ht="12.75">
      <c r="Q50" s="284"/>
      <c r="T50" s="284"/>
    </row>
  </sheetData>
  <sheetProtection selectLockedCells="1" selectUnlockedCells="1"/>
  <mergeCells count="11">
    <mergeCell ref="P2:U2"/>
    <mergeCell ref="W2:AB2"/>
    <mergeCell ref="B3:G3"/>
    <mergeCell ref="P3:U3"/>
    <mergeCell ref="W3:AB3"/>
    <mergeCell ref="Q4:U4"/>
    <mergeCell ref="X4:AB4"/>
    <mergeCell ref="B12:G12"/>
    <mergeCell ref="B21:G21"/>
    <mergeCell ref="P30:V30"/>
    <mergeCell ref="P42:V42"/>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3:AA126"/>
  <sheetViews>
    <sheetView zoomScale="90" zoomScaleNormal="90" workbookViewId="0" topLeftCell="A1">
      <selection activeCell="H90" sqref="H90"/>
    </sheetView>
  </sheetViews>
  <sheetFormatPr defaultColWidth="12.57421875" defaultRowHeight="12.75"/>
  <cols>
    <col min="1" max="1" width="38.7109375" style="0" customWidth="1"/>
    <col min="2" max="5" width="11.57421875" style="0" customWidth="1"/>
    <col min="6" max="6" width="11.28125" style="0" customWidth="1"/>
    <col min="7" max="7" width="11.57421875" style="0" customWidth="1"/>
    <col min="8" max="8" width="38.7109375" style="0" customWidth="1"/>
    <col min="9" max="9" width="19.140625" style="0" customWidth="1"/>
    <col min="10" max="14" width="11.57421875" style="0" customWidth="1"/>
    <col min="15" max="15" width="36.57421875" style="0" customWidth="1"/>
    <col min="16" max="16" width="19.421875" style="0" customWidth="1"/>
    <col min="17" max="24" width="11.57421875" style="0" customWidth="1"/>
    <col min="25" max="25" width="14.421875" style="0" customWidth="1"/>
    <col min="26" max="26" width="15.421875" style="0" customWidth="1"/>
    <col min="27" max="27" width="27.00390625" style="0" customWidth="1"/>
    <col min="28" max="16384" width="11.57421875" style="0" customWidth="1"/>
  </cols>
  <sheetData>
    <row r="1" ht="12.75" customHeight="1"/>
    <row r="2" ht="12.75" customHeight="1"/>
    <row r="3" spans="1:20" ht="18" customHeight="1">
      <c r="A3" s="98" t="s">
        <v>1351</v>
      </c>
      <c r="B3" s="98"/>
      <c r="C3" s="98"/>
      <c r="D3" s="98"/>
      <c r="E3" s="98"/>
      <c r="F3" s="98"/>
      <c r="G3" s="60"/>
      <c r="H3" s="285" t="s">
        <v>1352</v>
      </c>
      <c r="I3" s="98"/>
      <c r="J3" s="236"/>
      <c r="K3" s="236"/>
      <c r="L3" s="236"/>
      <c r="M3" s="236"/>
      <c r="O3" s="285" t="s">
        <v>1352</v>
      </c>
      <c r="P3" s="98"/>
      <c r="Q3" s="236"/>
      <c r="R3" s="236"/>
      <c r="S3" s="236"/>
      <c r="T3" s="236"/>
    </row>
    <row r="4" spans="1:20" ht="12.75" customHeight="1">
      <c r="A4" s="125" t="s">
        <v>606</v>
      </c>
      <c r="B4" s="126"/>
      <c r="C4" s="126"/>
      <c r="D4" s="115"/>
      <c r="E4" s="126"/>
      <c r="F4" s="152" t="s">
        <v>6</v>
      </c>
      <c r="G4" s="57"/>
      <c r="H4" s="236" t="s">
        <v>1353</v>
      </c>
      <c r="I4" s="98" t="s">
        <v>1354</v>
      </c>
      <c r="J4" s="98" t="s">
        <v>1355</v>
      </c>
      <c r="K4" s="98" t="s">
        <v>1356</v>
      </c>
      <c r="L4" s="98">
        <f>"="</f>
        <v>0</v>
      </c>
      <c r="M4" s="98"/>
      <c r="O4" s="236" t="s">
        <v>1353</v>
      </c>
      <c r="P4" s="98" t="s">
        <v>1354</v>
      </c>
      <c r="Q4" s="98" t="s">
        <v>1355</v>
      </c>
      <c r="R4" s="98" t="s">
        <v>1356</v>
      </c>
      <c r="S4" s="98">
        <f>"="</f>
        <v>0</v>
      </c>
      <c r="T4" s="98"/>
    </row>
    <row r="5" spans="1:20" ht="12.75" customHeight="1">
      <c r="A5" s="61" t="s">
        <v>1357</v>
      </c>
      <c r="B5" s="115"/>
      <c r="C5" s="72"/>
      <c r="D5" s="115">
        <v>1</v>
      </c>
      <c r="E5" s="117">
        <f>Retail_Prices!$H$259</f>
        <v>4167.878</v>
      </c>
      <c r="F5" s="118">
        <f>D5*E5</f>
        <v>4167.878</v>
      </c>
      <c r="G5" s="57"/>
      <c r="H5" s="236" t="s">
        <v>1358</v>
      </c>
      <c r="I5" s="239">
        <v>2</v>
      </c>
      <c r="J5" s="100" t="s">
        <v>1355</v>
      </c>
      <c r="K5" s="100">
        <v>1</v>
      </c>
      <c r="L5" s="100">
        <f>"="</f>
        <v>0</v>
      </c>
      <c r="M5" s="100">
        <f>I5*K5</f>
        <v>2</v>
      </c>
      <c r="O5" s="236" t="s">
        <v>1358</v>
      </c>
      <c r="P5" s="239">
        <v>2</v>
      </c>
      <c r="Q5" s="100" t="s">
        <v>1355</v>
      </c>
      <c r="R5" s="100">
        <v>1</v>
      </c>
      <c r="S5" s="100">
        <f>"="</f>
        <v>0</v>
      </c>
      <c r="T5" s="100">
        <f>P5*R5</f>
        <v>2</v>
      </c>
    </row>
    <row r="6" spans="1:20" ht="12.75" customHeight="1">
      <c r="A6" s="42" t="s">
        <v>1359</v>
      </c>
      <c r="B6" s="115"/>
      <c r="C6" s="72"/>
      <c r="D6" s="115"/>
      <c r="E6" s="117"/>
      <c r="F6" s="118">
        <v>225</v>
      </c>
      <c r="G6" s="57"/>
      <c r="H6" s="236" t="s">
        <v>1360</v>
      </c>
      <c r="I6" s="239">
        <v>1</v>
      </c>
      <c r="J6" s="100" t="s">
        <v>1355</v>
      </c>
      <c r="K6" s="100">
        <v>1</v>
      </c>
      <c r="L6" s="100">
        <f>"="</f>
        <v>0</v>
      </c>
      <c r="M6" s="100">
        <f>I6*K6</f>
        <v>1</v>
      </c>
      <c r="O6" s="236" t="s">
        <v>1360</v>
      </c>
      <c r="P6" s="239">
        <v>1</v>
      </c>
      <c r="Q6" s="100" t="s">
        <v>1355</v>
      </c>
      <c r="R6" s="100">
        <v>1</v>
      </c>
      <c r="S6" s="100">
        <f>"="</f>
        <v>0</v>
      </c>
      <c r="T6" s="100">
        <f>P6*R6</f>
        <v>1</v>
      </c>
    </row>
    <row r="7" spans="1:20" ht="12.75" customHeight="1">
      <c r="A7" s="42" t="s">
        <v>1361</v>
      </c>
      <c r="B7" s="115"/>
      <c r="C7" s="72"/>
      <c r="D7" s="115">
        <f>$K$29</f>
        <v>240</v>
      </c>
      <c r="E7" s="117">
        <f>Retail_Prices!$H$244*1.15</f>
        <v>1.24857018</v>
      </c>
      <c r="F7" s="118">
        <f>D7*E7</f>
        <v>299.65684319999997</v>
      </c>
      <c r="G7" s="57"/>
      <c r="H7" s="236" t="s">
        <v>1362</v>
      </c>
      <c r="I7" s="239">
        <v>2</v>
      </c>
      <c r="J7" s="100" t="s">
        <v>1355</v>
      </c>
      <c r="K7" s="100">
        <v>1</v>
      </c>
      <c r="L7" s="100">
        <f>"="</f>
        <v>0</v>
      </c>
      <c r="M7" s="100">
        <f>I7*K7</f>
        <v>2</v>
      </c>
      <c r="O7" s="236" t="s">
        <v>1362</v>
      </c>
      <c r="P7" s="239">
        <v>2</v>
      </c>
      <c r="Q7" s="100" t="s">
        <v>1355</v>
      </c>
      <c r="R7" s="100">
        <v>2</v>
      </c>
      <c r="S7" s="100">
        <f>"="</f>
        <v>0</v>
      </c>
      <c r="T7" s="100">
        <f>P7*R7</f>
        <v>4</v>
      </c>
    </row>
    <row r="8" spans="1:20" ht="12.75" customHeight="1">
      <c r="A8" s="42" t="s">
        <v>1363</v>
      </c>
      <c r="B8" s="115"/>
      <c r="C8" s="72"/>
      <c r="D8" s="115">
        <v>1</v>
      </c>
      <c r="E8" s="117">
        <v>75</v>
      </c>
      <c r="F8" s="118">
        <f>D8*E8</f>
        <v>75</v>
      </c>
      <c r="G8" s="57"/>
      <c r="H8" s="236" t="s">
        <v>1364</v>
      </c>
      <c r="I8" s="239">
        <v>2</v>
      </c>
      <c r="J8" s="100" t="s">
        <v>1355</v>
      </c>
      <c r="K8" s="100">
        <v>0</v>
      </c>
      <c r="L8" s="100">
        <f>"="</f>
        <v>0</v>
      </c>
      <c r="M8" s="100">
        <f>I8*K8</f>
        <v>0</v>
      </c>
      <c r="O8" s="236" t="s">
        <v>1364</v>
      </c>
      <c r="P8" s="239">
        <v>2</v>
      </c>
      <c r="Q8" s="100" t="s">
        <v>1355</v>
      </c>
      <c r="R8" s="100">
        <v>0</v>
      </c>
      <c r="S8" s="100">
        <f>"="</f>
        <v>0</v>
      </c>
      <c r="T8" s="100">
        <f>P8*R8</f>
        <v>0</v>
      </c>
    </row>
    <row r="9" spans="1:20" ht="12.75" customHeight="1">
      <c r="A9" s="42" t="s">
        <v>1365</v>
      </c>
      <c r="B9" s="115"/>
      <c r="C9" s="72"/>
      <c r="D9" s="115">
        <v>1</v>
      </c>
      <c r="E9" s="117">
        <v>90</v>
      </c>
      <c r="F9" s="118">
        <f>D9*E9</f>
        <v>90</v>
      </c>
      <c r="G9" s="57"/>
      <c r="H9" s="236" t="s">
        <v>1366</v>
      </c>
      <c r="I9" s="239">
        <v>1</v>
      </c>
      <c r="J9" s="100" t="s">
        <v>1355</v>
      </c>
      <c r="K9" s="100">
        <v>1</v>
      </c>
      <c r="L9" s="100">
        <f>"="</f>
        <v>0</v>
      </c>
      <c r="M9" s="100">
        <f>I9*K9</f>
        <v>1</v>
      </c>
      <c r="O9" s="236" t="s">
        <v>1366</v>
      </c>
      <c r="P9" s="239">
        <v>1</v>
      </c>
      <c r="Q9" s="100" t="s">
        <v>1355</v>
      </c>
      <c r="R9" s="100">
        <v>1</v>
      </c>
      <c r="S9" s="100">
        <f>"="</f>
        <v>0</v>
      </c>
      <c r="T9" s="100">
        <f>P9*R9</f>
        <v>1</v>
      </c>
    </row>
    <row r="10" spans="1:20" ht="12.75" customHeight="1">
      <c r="A10" t="s">
        <v>1367</v>
      </c>
      <c r="D10" s="72">
        <v>1</v>
      </c>
      <c r="E10" s="117">
        <v>60</v>
      </c>
      <c r="F10" s="118">
        <f>D10*E10</f>
        <v>60</v>
      </c>
      <c r="G10" s="57"/>
      <c r="H10" s="236" t="s">
        <v>1368</v>
      </c>
      <c r="I10" s="239">
        <v>1</v>
      </c>
      <c r="J10" s="100" t="s">
        <v>1355</v>
      </c>
      <c r="K10" s="100">
        <v>3</v>
      </c>
      <c r="L10" s="100">
        <f>"="</f>
        <v>0</v>
      </c>
      <c r="M10" s="100">
        <f>I10*K10</f>
        <v>3</v>
      </c>
      <c r="O10" s="236" t="s">
        <v>1368</v>
      </c>
      <c r="P10" s="239">
        <v>1</v>
      </c>
      <c r="Q10" s="100" t="s">
        <v>1355</v>
      </c>
      <c r="R10" s="100">
        <v>4</v>
      </c>
      <c r="S10" s="100">
        <f>"="</f>
        <v>0</v>
      </c>
      <c r="T10" s="100">
        <f>P10*R10</f>
        <v>4</v>
      </c>
    </row>
    <row r="11" spans="1:20" ht="12.75" customHeight="1">
      <c r="A11" s="36" t="s">
        <v>1369</v>
      </c>
      <c r="B11" s="115"/>
      <c r="C11" s="72"/>
      <c r="D11" s="115">
        <v>80</v>
      </c>
      <c r="E11" s="117">
        <f>Retail_Prices!$H$245</f>
        <v>1.6280264</v>
      </c>
      <c r="F11" s="118">
        <f>D11*E11</f>
        <v>130.242112</v>
      </c>
      <c r="G11" s="57"/>
      <c r="H11" s="236" t="s">
        <v>216</v>
      </c>
      <c r="I11" s="239">
        <v>2</v>
      </c>
      <c r="J11" s="100" t="s">
        <v>1355</v>
      </c>
      <c r="K11" s="100">
        <v>1</v>
      </c>
      <c r="L11" s="100">
        <f>"="</f>
        <v>0</v>
      </c>
      <c r="M11" s="100">
        <f>I11*K11</f>
        <v>2</v>
      </c>
      <c r="O11" s="236" t="s">
        <v>216</v>
      </c>
      <c r="P11" s="239">
        <v>2</v>
      </c>
      <c r="Q11" s="100" t="s">
        <v>1355</v>
      </c>
      <c r="R11" s="100">
        <v>2</v>
      </c>
      <c r="S11" s="100">
        <f>"="</f>
        <v>0</v>
      </c>
      <c r="T11" s="100">
        <f>P11*R11</f>
        <v>4</v>
      </c>
    </row>
    <row r="12" spans="1:20" ht="12.75" customHeight="1">
      <c r="A12" s="42" t="s">
        <v>1370</v>
      </c>
      <c r="B12" s="115"/>
      <c r="C12" s="72"/>
      <c r="D12" s="115">
        <f>$K$33*1.15</f>
        <v>85.09999999999998</v>
      </c>
      <c r="E12" s="117">
        <f>Retail_Prices!$H$243</f>
        <v>22.8228</v>
      </c>
      <c r="F12" s="118">
        <f>D12*E12</f>
        <v>1942.2202799999995</v>
      </c>
      <c r="G12" s="57"/>
      <c r="H12" s="236" t="s">
        <v>1371</v>
      </c>
      <c r="I12" s="239">
        <v>2</v>
      </c>
      <c r="J12" s="100" t="s">
        <v>1355</v>
      </c>
      <c r="K12" s="100">
        <v>4</v>
      </c>
      <c r="L12" s="100">
        <f>"="</f>
        <v>0</v>
      </c>
      <c r="M12" s="100">
        <f>I12*K12</f>
        <v>8</v>
      </c>
      <c r="O12" s="236" t="s">
        <v>1371</v>
      </c>
      <c r="P12" s="239">
        <v>2</v>
      </c>
      <c r="Q12" s="100" t="s">
        <v>1355</v>
      </c>
      <c r="R12" s="100">
        <v>3</v>
      </c>
      <c r="S12" s="100">
        <f>"="</f>
        <v>0</v>
      </c>
      <c r="T12" s="100">
        <f>P12*R12</f>
        <v>6</v>
      </c>
    </row>
    <row r="13" spans="1:20" ht="12.75" customHeight="1">
      <c r="A13" s="36" t="s">
        <v>1372</v>
      </c>
      <c r="B13" s="115"/>
      <c r="C13" s="72"/>
      <c r="D13" s="115">
        <f>$K$27</f>
        <v>60</v>
      </c>
      <c r="E13" s="117">
        <f>Retail_Prices!$H$241</f>
        <v>117.3744</v>
      </c>
      <c r="F13" s="118">
        <f>D13*E13</f>
        <v>7042.464</v>
      </c>
      <c r="G13" s="57"/>
      <c r="H13" s="236" t="s">
        <v>215</v>
      </c>
      <c r="I13" s="239">
        <v>2</v>
      </c>
      <c r="J13" s="100" t="s">
        <v>1355</v>
      </c>
      <c r="K13" s="100">
        <v>2</v>
      </c>
      <c r="L13" s="100">
        <f>"="</f>
        <v>0</v>
      </c>
      <c r="M13" s="100">
        <f>I13*K13</f>
        <v>4</v>
      </c>
      <c r="O13" s="236" t="s">
        <v>215</v>
      </c>
      <c r="P13" s="239">
        <v>2</v>
      </c>
      <c r="Q13" s="100" t="s">
        <v>1355</v>
      </c>
      <c r="R13" s="100">
        <v>2</v>
      </c>
      <c r="S13" s="100">
        <f>"="</f>
        <v>0</v>
      </c>
      <c r="T13" s="100">
        <f>P13*R13</f>
        <v>4</v>
      </c>
    </row>
    <row r="14" spans="1:20" ht="12.75" customHeight="1">
      <c r="A14" s="36" t="s">
        <v>161</v>
      </c>
      <c r="B14" s="115"/>
      <c r="C14" s="72"/>
      <c r="D14" s="115">
        <v>1</v>
      </c>
      <c r="E14" s="117">
        <v>150</v>
      </c>
      <c r="F14" s="118">
        <f>D14*E14</f>
        <v>150</v>
      </c>
      <c r="G14" s="286"/>
      <c r="H14" s="236" t="s">
        <v>1373</v>
      </c>
      <c r="I14" s="100">
        <v>3</v>
      </c>
      <c r="J14" s="100" t="s">
        <v>1355</v>
      </c>
      <c r="K14" s="100">
        <v>6</v>
      </c>
      <c r="L14" s="100">
        <f>"="</f>
        <v>0</v>
      </c>
      <c r="M14" s="100">
        <f>I14*K14</f>
        <v>18</v>
      </c>
      <c r="O14" s="236" t="s">
        <v>1373</v>
      </c>
      <c r="P14" s="100">
        <v>3</v>
      </c>
      <c r="Q14" s="100" t="s">
        <v>1355</v>
      </c>
      <c r="R14" s="100">
        <v>5</v>
      </c>
      <c r="S14" s="100">
        <f>"="</f>
        <v>0</v>
      </c>
      <c r="T14" s="100">
        <f>P14*R14</f>
        <v>15</v>
      </c>
    </row>
    <row r="15" spans="1:20" ht="12.75" customHeight="1">
      <c r="A15" s="252"/>
      <c r="B15" s="115"/>
      <c r="C15" s="72"/>
      <c r="D15" s="115"/>
      <c r="E15" s="117"/>
      <c r="F15" s="118"/>
      <c r="G15" s="57"/>
      <c r="H15" s="236"/>
      <c r="I15" s="98" t="s">
        <v>64</v>
      </c>
      <c r="J15" s="98"/>
      <c r="K15" s="98"/>
      <c r="L15" s="98"/>
      <c r="M15" s="100">
        <f>SUM(M5:M14)</f>
        <v>41</v>
      </c>
      <c r="O15" s="236"/>
      <c r="P15" s="98" t="s">
        <v>64</v>
      </c>
      <c r="Q15" s="98"/>
      <c r="R15" s="98"/>
      <c r="S15" s="98"/>
      <c r="T15" s="100">
        <f>SUM(T5:T14)</f>
        <v>41</v>
      </c>
    </row>
    <row r="16" spans="1:7" ht="12.75" customHeight="1">
      <c r="A16" s="252"/>
      <c r="B16" s="115"/>
      <c r="C16" s="72"/>
      <c r="D16" s="115"/>
      <c r="E16" s="117"/>
      <c r="F16" s="118"/>
      <c r="G16" s="57"/>
    </row>
    <row r="17" spans="1:7" ht="12.75" customHeight="1">
      <c r="A17" s="114"/>
      <c r="B17" s="115"/>
      <c r="C17" s="72"/>
      <c r="D17" s="115"/>
      <c r="E17" s="117"/>
      <c r="F17" s="118"/>
      <c r="G17" s="287">
        <f>F13+F12</f>
        <v>8984.68428</v>
      </c>
    </row>
    <row r="18" spans="1:20" ht="12.75" customHeight="1">
      <c r="A18" s="175" t="s">
        <v>6</v>
      </c>
      <c r="B18" s="176"/>
      <c r="C18" s="176"/>
      <c r="D18" s="176"/>
      <c r="E18" s="176"/>
      <c r="F18" s="177">
        <f>SUM(F5:F17)</f>
        <v>14182.4612352</v>
      </c>
      <c r="G18" s="287">
        <f>G17/240</f>
        <v>37.436184499999996</v>
      </c>
      <c r="H18" s="10" t="s">
        <v>1374</v>
      </c>
      <c r="I18" s="10"/>
      <c r="J18" s="10"/>
      <c r="K18" s="10"/>
      <c r="L18" s="10"/>
      <c r="M18" s="10"/>
      <c r="O18" s="10" t="s">
        <v>1374</v>
      </c>
      <c r="P18" s="10"/>
      <c r="Q18" s="10"/>
      <c r="R18" s="10"/>
      <c r="S18" s="10"/>
      <c r="T18" s="10"/>
    </row>
    <row r="19" spans="1:15" ht="12.75" customHeight="1">
      <c r="A19" s="252"/>
      <c r="B19" s="115"/>
      <c r="C19" s="72"/>
      <c r="D19" s="115"/>
      <c r="E19" s="117"/>
      <c r="F19" s="118"/>
      <c r="G19" s="287">
        <f>318*G18</f>
        <v>11904.706670999998</v>
      </c>
      <c r="H19" t="s">
        <v>1375</v>
      </c>
      <c r="O19" t="s">
        <v>1376</v>
      </c>
    </row>
    <row r="20" ht="12.75" customHeight="1">
      <c r="G20" s="288">
        <f>272*G18</f>
        <v>10182.642183999998</v>
      </c>
    </row>
    <row r="21" spans="1:18" ht="12.75" customHeight="1">
      <c r="A21" s="98" t="s">
        <v>1377</v>
      </c>
      <c r="B21" s="98"/>
      <c r="C21" s="98"/>
      <c r="D21" s="98"/>
      <c r="E21" s="98"/>
      <c r="F21" s="98"/>
      <c r="G21" s="12">
        <f>227*G18</f>
        <v>8498.0138815</v>
      </c>
      <c r="I21" t="s">
        <v>1378</v>
      </c>
      <c r="J21" s="72">
        <f>"="</f>
        <v>0</v>
      </c>
      <c r="K21">
        <v>0.4</v>
      </c>
      <c r="P21" t="s">
        <v>1378</v>
      </c>
      <c r="Q21" s="72">
        <f>"="</f>
        <v>0</v>
      </c>
      <c r="R21">
        <v>0.4</v>
      </c>
    </row>
    <row r="22" spans="1:18" ht="12.75" customHeight="1">
      <c r="A22" s="125" t="s">
        <v>606</v>
      </c>
      <c r="B22" s="126"/>
      <c r="C22" s="126"/>
      <c r="D22" s="115"/>
      <c r="E22" s="126"/>
      <c r="F22" s="152" t="s">
        <v>6</v>
      </c>
      <c r="I22" t="s">
        <v>1379</v>
      </c>
      <c r="J22" s="72">
        <f>"="</f>
        <v>0</v>
      </c>
      <c r="K22" s="22">
        <f>((3.41677)*(K21^1.13)+1)*K21</f>
        <v>0.8852924410456876</v>
      </c>
      <c r="P22" t="s">
        <v>1379</v>
      </c>
      <c r="Q22" s="72">
        <f>"="</f>
        <v>0</v>
      </c>
      <c r="R22" s="22">
        <f>((3.41677)*(R21^1.13)+1)*R21</f>
        <v>0.8852924410456876</v>
      </c>
    </row>
    <row r="23" spans="1:18" ht="12.75" customHeight="1">
      <c r="A23" s="42" t="s">
        <v>1380</v>
      </c>
      <c r="B23" s="115"/>
      <c r="C23" s="72"/>
      <c r="D23" s="115">
        <v>1</v>
      </c>
      <c r="E23" s="117">
        <v>3500</v>
      </c>
      <c r="F23" s="118">
        <f>D23*E23</f>
        <v>3500</v>
      </c>
      <c r="I23" t="s">
        <v>1381</v>
      </c>
      <c r="J23" s="72">
        <f>"="</f>
        <v>0</v>
      </c>
      <c r="K23">
        <v>1050</v>
      </c>
      <c r="P23" t="s">
        <v>1381</v>
      </c>
      <c r="Q23" s="72">
        <f>"="</f>
        <v>0</v>
      </c>
      <c r="R23">
        <v>900</v>
      </c>
    </row>
    <row r="24" spans="1:18" ht="12.75" customHeight="1">
      <c r="A24" s="42" t="s">
        <v>1359</v>
      </c>
      <c r="B24" s="115"/>
      <c r="C24" s="72"/>
      <c r="D24" s="115"/>
      <c r="E24" s="117"/>
      <c r="F24" s="118">
        <v>225</v>
      </c>
      <c r="I24" t="s">
        <v>1382</v>
      </c>
      <c r="J24" s="72">
        <f>"="</f>
        <v>0</v>
      </c>
      <c r="K24" s="22">
        <f>K23/K22</f>
        <v>1186.0487578090733</v>
      </c>
      <c r="P24" t="s">
        <v>1382</v>
      </c>
      <c r="Q24" s="72">
        <f>"="</f>
        <v>0</v>
      </c>
      <c r="R24" s="22">
        <f>R23/R22</f>
        <v>1016.6132209792056</v>
      </c>
    </row>
    <row r="25" spans="1:18" ht="12.75" customHeight="1">
      <c r="A25" s="42" t="s">
        <v>1363</v>
      </c>
      <c r="B25" s="115"/>
      <c r="C25" s="72"/>
      <c r="D25" s="115">
        <v>1</v>
      </c>
      <c r="E25" s="117">
        <v>75</v>
      </c>
      <c r="F25" s="118">
        <f>D25*E25</f>
        <v>75</v>
      </c>
      <c r="I25" t="s">
        <v>1383</v>
      </c>
      <c r="J25" s="72" t="s">
        <v>1384</v>
      </c>
      <c r="K25">
        <v>20</v>
      </c>
      <c r="P25" t="s">
        <v>1383</v>
      </c>
      <c r="Q25" s="72" t="s">
        <v>1384</v>
      </c>
      <c r="R25">
        <v>20</v>
      </c>
    </row>
    <row r="26" spans="1:18" ht="12.75" customHeight="1">
      <c r="A26" s="42" t="s">
        <v>1365</v>
      </c>
      <c r="B26" s="115"/>
      <c r="C26" s="72"/>
      <c r="D26" s="115">
        <v>1</v>
      </c>
      <c r="E26" s="117">
        <v>60</v>
      </c>
      <c r="F26" s="118">
        <f>D26*E26</f>
        <v>60</v>
      </c>
      <c r="I26" t="s">
        <v>1385</v>
      </c>
      <c r="J26" s="72" t="s">
        <v>1384</v>
      </c>
      <c r="K26" s="22">
        <f>K24/K25</f>
        <v>59.30243789045367</v>
      </c>
      <c r="P26" t="s">
        <v>1385</v>
      </c>
      <c r="Q26" s="72" t="s">
        <v>1384</v>
      </c>
      <c r="R26" s="22">
        <f>R24/R25</f>
        <v>50.83066104896028</v>
      </c>
    </row>
    <row r="27" spans="1:18" ht="12.75" customHeight="1">
      <c r="A27" t="s">
        <v>1367</v>
      </c>
      <c r="D27" s="72">
        <v>1</v>
      </c>
      <c r="E27" s="117">
        <v>60</v>
      </c>
      <c r="F27" s="118">
        <f>D27*E27</f>
        <v>60</v>
      </c>
      <c r="I27" t="s">
        <v>1386</v>
      </c>
      <c r="J27" s="72" t="s">
        <v>1384</v>
      </c>
      <c r="K27" s="72">
        <v>60</v>
      </c>
      <c r="P27" t="s">
        <v>1386</v>
      </c>
      <c r="Q27" s="72" t="s">
        <v>1384</v>
      </c>
      <c r="R27" s="72">
        <v>54</v>
      </c>
    </row>
    <row r="28" spans="1:18" ht="12.75">
      <c r="A28" s="36" t="s">
        <v>1369</v>
      </c>
      <c r="B28" s="115"/>
      <c r="C28" s="72"/>
      <c r="D28" s="115">
        <v>80</v>
      </c>
      <c r="E28" s="117">
        <f>Retail_Prices!$H$245</f>
        <v>1.6280264</v>
      </c>
      <c r="F28" s="118">
        <f>D28*E28</f>
        <v>130.242112</v>
      </c>
      <c r="I28" t="s">
        <v>1387</v>
      </c>
      <c r="J28" s="72" t="s">
        <v>1384</v>
      </c>
      <c r="K28" s="72">
        <f>K26*4</f>
        <v>237.20975156181467</v>
      </c>
      <c r="P28" t="s">
        <v>1387</v>
      </c>
      <c r="Q28" s="72" t="s">
        <v>1384</v>
      </c>
      <c r="R28" s="72">
        <f>R26*4</f>
        <v>203.32264419584112</v>
      </c>
    </row>
    <row r="29" spans="1:18" ht="12.75">
      <c r="A29" t="s">
        <v>1388</v>
      </c>
      <c r="B29" s="115"/>
      <c r="C29" s="72"/>
      <c r="D29" s="115">
        <v>93</v>
      </c>
      <c r="E29" s="117">
        <f>Retail_Prices!$H$246</f>
        <v>35.853532</v>
      </c>
      <c r="F29" s="118">
        <f>D29*E29</f>
        <v>3334.3784760000003</v>
      </c>
      <c r="I29" t="s">
        <v>1389</v>
      </c>
      <c r="J29" s="72" t="s">
        <v>1384</v>
      </c>
      <c r="K29" s="72">
        <f>K27*4</f>
        <v>240</v>
      </c>
      <c r="P29" t="s">
        <v>1389</v>
      </c>
      <c r="Q29" s="72" t="s">
        <v>1384</v>
      </c>
      <c r="R29" s="72">
        <f>R27*4</f>
        <v>216</v>
      </c>
    </row>
    <row r="30" spans="1:18" ht="12.75">
      <c r="A30" t="s">
        <v>1390</v>
      </c>
      <c r="B30" s="115"/>
      <c r="C30" s="72"/>
      <c r="D30" s="115">
        <f>4*2</f>
        <v>8</v>
      </c>
      <c r="E30" s="117">
        <f>Retail_Prices!$H$247</f>
        <v>18.4756</v>
      </c>
      <c r="F30" s="118">
        <f>D30*E30</f>
        <v>147.8048</v>
      </c>
      <c r="I30" t="s">
        <v>1391</v>
      </c>
      <c r="J30" s="72" t="s">
        <v>1384</v>
      </c>
      <c r="K30" s="72">
        <f>1*3+(19/12)*1*2</f>
        <v>6.166666666666666</v>
      </c>
      <c r="P30" t="s">
        <v>1391</v>
      </c>
      <c r="Q30" s="72" t="s">
        <v>1384</v>
      </c>
      <c r="R30" s="72">
        <f>1*3+(19/12)*1*2</f>
        <v>6.166666666666666</v>
      </c>
    </row>
    <row r="31" spans="1:18" ht="12.75">
      <c r="A31" s="36" t="s">
        <v>161</v>
      </c>
      <c r="B31" s="115"/>
      <c r="C31" s="72"/>
      <c r="D31" s="115">
        <v>1</v>
      </c>
      <c r="E31" s="117">
        <v>150</v>
      </c>
      <c r="F31" s="118">
        <f>D31*E31</f>
        <v>150</v>
      </c>
      <c r="I31" t="s">
        <v>1392</v>
      </c>
      <c r="J31" s="72" t="s">
        <v>1384</v>
      </c>
      <c r="K31" s="72">
        <f>K29*K30</f>
        <v>1479.9999999999998</v>
      </c>
      <c r="L31" s="22">
        <f>K31/3/3/3</f>
        <v>54.81481481481481</v>
      </c>
      <c r="P31" t="s">
        <v>1392</v>
      </c>
      <c r="Q31" s="72" t="s">
        <v>1384</v>
      </c>
      <c r="R31" s="72">
        <f>R29*R30</f>
        <v>1331.9999999999998</v>
      </c>
    </row>
    <row r="32" spans="1:18" ht="12.75">
      <c r="A32" s="36"/>
      <c r="B32" s="115"/>
      <c r="C32" s="72"/>
      <c r="D32" s="115"/>
      <c r="E32" s="117"/>
      <c r="F32" s="118"/>
      <c r="I32" t="s">
        <v>1393</v>
      </c>
      <c r="J32" s="72" t="s">
        <v>1384</v>
      </c>
      <c r="K32" s="72">
        <v>100</v>
      </c>
      <c r="P32" t="s">
        <v>1393</v>
      </c>
      <c r="Q32" s="72" t="s">
        <v>1384</v>
      </c>
      <c r="R32" s="72">
        <v>100</v>
      </c>
    </row>
    <row r="33" spans="1:18" ht="12.75">
      <c r="A33" s="252"/>
      <c r="B33" s="115"/>
      <c r="C33" s="72"/>
      <c r="D33" s="115"/>
      <c r="E33" s="117"/>
      <c r="F33" s="118"/>
      <c r="I33" t="s">
        <v>1394</v>
      </c>
      <c r="J33" s="72" t="s">
        <v>1384</v>
      </c>
      <c r="K33" s="72">
        <f>K31*K32/2000</f>
        <v>73.99999999999999</v>
      </c>
      <c r="P33" t="s">
        <v>1394</v>
      </c>
      <c r="Q33" s="72" t="s">
        <v>1384</v>
      </c>
      <c r="R33" s="72">
        <f>R31*R32/2000</f>
        <v>66.59999999999998</v>
      </c>
    </row>
    <row r="34" spans="1:18" ht="12.75">
      <c r="A34" s="252"/>
      <c r="B34" s="115"/>
      <c r="C34" s="72"/>
      <c r="D34" s="115"/>
      <c r="E34" s="117"/>
      <c r="F34" s="118"/>
      <c r="J34" s="72"/>
      <c r="K34" s="72"/>
      <c r="Q34" s="72"/>
      <c r="R34" s="72"/>
    </row>
    <row r="35" spans="1:18" ht="12.75">
      <c r="A35" s="114"/>
      <c r="B35" s="115"/>
      <c r="C35" s="72"/>
      <c r="D35" s="115"/>
      <c r="E35" s="117"/>
      <c r="F35" s="118"/>
      <c r="J35" s="72"/>
      <c r="K35" s="72"/>
      <c r="Q35" s="72"/>
      <c r="R35" s="72"/>
    </row>
    <row r="36" spans="1:20" ht="12.75">
      <c r="A36" s="175" t="s">
        <v>6</v>
      </c>
      <c r="B36" s="176"/>
      <c r="C36" s="176"/>
      <c r="D36" s="176"/>
      <c r="E36" s="176"/>
      <c r="F36" s="177">
        <f>SUM(F23:F35)</f>
        <v>7682.425388</v>
      </c>
      <c r="H36" s="285" t="s">
        <v>1395</v>
      </c>
      <c r="I36" s="98"/>
      <c r="J36" s="236"/>
      <c r="K36" s="236"/>
      <c r="L36" s="236"/>
      <c r="M36" s="236"/>
      <c r="O36" s="285" t="s">
        <v>1395</v>
      </c>
      <c r="P36" s="98"/>
      <c r="Q36" s="236"/>
      <c r="R36" s="236"/>
      <c r="S36" s="236"/>
      <c r="T36" s="236"/>
    </row>
    <row r="37" spans="8:20" ht="12.75">
      <c r="H37" s="236" t="s">
        <v>1353</v>
      </c>
      <c r="I37" s="98" t="s">
        <v>1354</v>
      </c>
      <c r="J37" s="98" t="s">
        <v>1355</v>
      </c>
      <c r="K37" s="98" t="s">
        <v>1356</v>
      </c>
      <c r="L37" s="98">
        <f>"="</f>
        <v>0</v>
      </c>
      <c r="M37" s="98"/>
      <c r="O37" s="236" t="s">
        <v>1353</v>
      </c>
      <c r="P37" s="98" t="s">
        <v>1354</v>
      </c>
      <c r="Q37" s="98" t="s">
        <v>1355</v>
      </c>
      <c r="R37" s="98" t="s">
        <v>1356</v>
      </c>
      <c r="S37" s="98">
        <f>"="</f>
        <v>0</v>
      </c>
      <c r="T37" s="98"/>
    </row>
    <row r="38" spans="8:20" ht="12.75">
      <c r="H38" s="236" t="s">
        <v>1358</v>
      </c>
      <c r="I38" s="239">
        <v>2</v>
      </c>
      <c r="J38" s="100" t="s">
        <v>1355</v>
      </c>
      <c r="K38" s="100">
        <v>1</v>
      </c>
      <c r="L38" s="100">
        <f>"="</f>
        <v>0</v>
      </c>
      <c r="M38" s="100">
        <f>I38*K38</f>
        <v>2</v>
      </c>
      <c r="O38" s="236" t="s">
        <v>1358</v>
      </c>
      <c r="P38" s="239">
        <v>2</v>
      </c>
      <c r="Q38" s="100" t="s">
        <v>1355</v>
      </c>
      <c r="R38" s="100">
        <v>1</v>
      </c>
      <c r="S38" s="100">
        <f>"="</f>
        <v>0</v>
      </c>
      <c r="T38" s="100">
        <f>P38*R38</f>
        <v>2</v>
      </c>
    </row>
    <row r="39" spans="1:20" ht="12.75">
      <c r="A39" s="98" t="s">
        <v>1396</v>
      </c>
      <c r="B39" s="98"/>
      <c r="C39" s="98"/>
      <c r="D39" s="98"/>
      <c r="E39" s="98"/>
      <c r="F39" s="98"/>
      <c r="H39" s="236" t="s">
        <v>1360</v>
      </c>
      <c r="I39" s="239">
        <v>1</v>
      </c>
      <c r="J39" s="100" t="s">
        <v>1355</v>
      </c>
      <c r="K39" s="100">
        <v>1</v>
      </c>
      <c r="L39" s="100">
        <f>"="</f>
        <v>0</v>
      </c>
      <c r="M39" s="100">
        <f>I39*K39</f>
        <v>1</v>
      </c>
      <c r="O39" s="236" t="s">
        <v>1360</v>
      </c>
      <c r="P39" s="239">
        <v>1</v>
      </c>
      <c r="Q39" s="100" t="s">
        <v>1355</v>
      </c>
      <c r="R39" s="100">
        <v>1</v>
      </c>
      <c r="S39" s="100">
        <f>"="</f>
        <v>0</v>
      </c>
      <c r="T39" s="100">
        <f>P39*R39</f>
        <v>1</v>
      </c>
    </row>
    <row r="40" spans="1:20" ht="12.75">
      <c r="A40" s="125" t="s">
        <v>606</v>
      </c>
      <c r="B40" s="126"/>
      <c r="C40" s="126"/>
      <c r="D40" s="115"/>
      <c r="E40" s="126"/>
      <c r="F40" s="152" t="s">
        <v>6</v>
      </c>
      <c r="H40" s="236" t="s">
        <v>1362</v>
      </c>
      <c r="I40" s="239">
        <v>2</v>
      </c>
      <c r="J40" s="100" t="s">
        <v>1355</v>
      </c>
      <c r="K40" s="100">
        <v>2</v>
      </c>
      <c r="L40" s="100">
        <f>"="</f>
        <v>0</v>
      </c>
      <c r="M40" s="100">
        <f>I40*K40</f>
        <v>4</v>
      </c>
      <c r="O40" s="236" t="s">
        <v>1362</v>
      </c>
      <c r="P40" s="239">
        <v>2</v>
      </c>
      <c r="Q40" s="100" t="s">
        <v>1355</v>
      </c>
      <c r="R40" s="100">
        <v>2</v>
      </c>
      <c r="S40" s="100">
        <f>"="</f>
        <v>0</v>
      </c>
      <c r="T40" s="100">
        <f>P40*R40</f>
        <v>4</v>
      </c>
    </row>
    <row r="41" spans="1:20" ht="12.75">
      <c r="A41" s="42" t="s">
        <v>1397</v>
      </c>
      <c r="B41" s="115"/>
      <c r="C41" s="72"/>
      <c r="D41" s="115">
        <v>1</v>
      </c>
      <c r="E41" s="117">
        <v>972</v>
      </c>
      <c r="F41" s="118">
        <f>D41*E41</f>
        <v>972</v>
      </c>
      <c r="H41" s="236" t="s">
        <v>1364</v>
      </c>
      <c r="I41" s="239">
        <v>2</v>
      </c>
      <c r="J41" s="100" t="s">
        <v>1355</v>
      </c>
      <c r="K41" s="100">
        <v>0</v>
      </c>
      <c r="L41" s="100">
        <f>"="</f>
        <v>0</v>
      </c>
      <c r="M41" s="100">
        <f>I41*K41</f>
        <v>0</v>
      </c>
      <c r="O41" s="236" t="s">
        <v>1364</v>
      </c>
      <c r="P41" s="239">
        <v>2</v>
      </c>
      <c r="Q41" s="100" t="s">
        <v>1355</v>
      </c>
      <c r="R41" s="100">
        <v>0</v>
      </c>
      <c r="S41" s="100">
        <f>"="</f>
        <v>0</v>
      </c>
      <c r="T41" s="100">
        <f>P41*R41</f>
        <v>0</v>
      </c>
    </row>
    <row r="42" spans="1:20" ht="12.75">
      <c r="A42" s="42" t="s">
        <v>1359</v>
      </c>
      <c r="B42" s="115"/>
      <c r="C42" s="72"/>
      <c r="D42" s="115"/>
      <c r="E42" s="117"/>
      <c r="F42" s="118">
        <v>225</v>
      </c>
      <c r="H42" s="236" t="s">
        <v>1366</v>
      </c>
      <c r="I42" s="239">
        <v>1</v>
      </c>
      <c r="J42" s="100" t="s">
        <v>1355</v>
      </c>
      <c r="K42" s="100">
        <v>0</v>
      </c>
      <c r="L42" s="100">
        <f>"="</f>
        <v>0</v>
      </c>
      <c r="M42" s="100">
        <f>I42*K42</f>
        <v>0</v>
      </c>
      <c r="O42" s="236" t="s">
        <v>1366</v>
      </c>
      <c r="P42" s="239">
        <v>1</v>
      </c>
      <c r="Q42" s="100" t="s">
        <v>1355</v>
      </c>
      <c r="R42" s="100">
        <v>0</v>
      </c>
      <c r="S42" s="100">
        <f>"="</f>
        <v>0</v>
      </c>
      <c r="T42" s="100">
        <f>P42*R42</f>
        <v>0</v>
      </c>
    </row>
    <row r="43" spans="1:20" ht="12.75">
      <c r="A43" s="42" t="s">
        <v>1363</v>
      </c>
      <c r="B43" s="115"/>
      <c r="C43" s="72"/>
      <c r="D43" s="115">
        <v>1</v>
      </c>
      <c r="E43" s="117">
        <v>75</v>
      </c>
      <c r="F43" s="118">
        <f>D43*E43</f>
        <v>75</v>
      </c>
      <c r="H43" s="236" t="s">
        <v>1368</v>
      </c>
      <c r="I43" s="239">
        <v>1</v>
      </c>
      <c r="J43" s="100" t="s">
        <v>1355</v>
      </c>
      <c r="K43" s="100">
        <v>1</v>
      </c>
      <c r="L43" s="100">
        <f>"="</f>
        <v>0</v>
      </c>
      <c r="M43" s="100">
        <f>I43*K43</f>
        <v>1</v>
      </c>
      <c r="O43" s="236" t="s">
        <v>1368</v>
      </c>
      <c r="P43" s="239">
        <v>1</v>
      </c>
      <c r="Q43" s="100" t="s">
        <v>1355</v>
      </c>
      <c r="R43" s="100">
        <v>1</v>
      </c>
      <c r="S43" s="100">
        <f>"="</f>
        <v>0</v>
      </c>
      <c r="T43" s="100">
        <f>P43*R43</f>
        <v>1</v>
      </c>
    </row>
    <row r="44" spans="1:20" ht="12.75">
      <c r="A44" s="42" t="s">
        <v>1365</v>
      </c>
      <c r="B44" s="115"/>
      <c r="C44" s="72"/>
      <c r="D44" s="115">
        <v>1</v>
      </c>
      <c r="E44" s="117">
        <v>60</v>
      </c>
      <c r="F44" s="118">
        <f>D44*E44</f>
        <v>60</v>
      </c>
      <c r="H44" s="236" t="s">
        <v>216</v>
      </c>
      <c r="I44" s="239">
        <v>2</v>
      </c>
      <c r="J44" s="100" t="s">
        <v>1355</v>
      </c>
      <c r="K44" s="100">
        <v>0</v>
      </c>
      <c r="L44" s="100">
        <f>"="</f>
        <v>0</v>
      </c>
      <c r="M44" s="100">
        <f>I44*K44</f>
        <v>0</v>
      </c>
      <c r="O44" s="236" t="s">
        <v>216</v>
      </c>
      <c r="P44" s="239">
        <v>2</v>
      </c>
      <c r="Q44" s="100" t="s">
        <v>1355</v>
      </c>
      <c r="R44" s="100">
        <v>0</v>
      </c>
      <c r="S44" s="100">
        <f>"="</f>
        <v>0</v>
      </c>
      <c r="T44" s="100">
        <f>P44*R44</f>
        <v>0</v>
      </c>
    </row>
    <row r="45" spans="1:20" ht="12.75">
      <c r="A45" s="58" t="s">
        <v>1367</v>
      </c>
      <c r="D45" s="72">
        <v>1</v>
      </c>
      <c r="E45" s="117">
        <v>60</v>
      </c>
      <c r="F45" s="118">
        <f>D45*E45</f>
        <v>60</v>
      </c>
      <c r="H45" s="236" t="s">
        <v>1371</v>
      </c>
      <c r="I45" s="239">
        <v>2</v>
      </c>
      <c r="J45" s="100" t="s">
        <v>1355</v>
      </c>
      <c r="K45" s="100">
        <v>0</v>
      </c>
      <c r="L45" s="100">
        <f>"="</f>
        <v>0</v>
      </c>
      <c r="M45" s="100">
        <f>I45*K45</f>
        <v>0</v>
      </c>
      <c r="O45" s="236" t="s">
        <v>1371</v>
      </c>
      <c r="P45" s="239">
        <v>2</v>
      </c>
      <c r="Q45" s="100" t="s">
        <v>1355</v>
      </c>
      <c r="R45" s="100">
        <v>0</v>
      </c>
      <c r="S45" s="100">
        <f>"="</f>
        <v>0</v>
      </c>
      <c r="T45" s="100">
        <f>P45*R45</f>
        <v>0</v>
      </c>
    </row>
    <row r="46" spans="1:20" ht="12.75">
      <c r="A46" s="36" t="s">
        <v>1369</v>
      </c>
      <c r="B46" s="115"/>
      <c r="C46" s="72"/>
      <c r="D46" s="115">
        <v>80</v>
      </c>
      <c r="E46" s="117">
        <f>Retail_Prices!$H$245</f>
        <v>1.6280264</v>
      </c>
      <c r="F46" s="118">
        <f>D46*E46</f>
        <v>130.242112</v>
      </c>
      <c r="H46" s="236" t="s">
        <v>215</v>
      </c>
      <c r="I46" s="239">
        <v>2</v>
      </c>
      <c r="J46" s="100" t="s">
        <v>1355</v>
      </c>
      <c r="K46" s="100">
        <v>0</v>
      </c>
      <c r="L46" s="100">
        <f>"="</f>
        <v>0</v>
      </c>
      <c r="M46" s="100">
        <f>I46*K46</f>
        <v>0</v>
      </c>
      <c r="O46" s="236" t="s">
        <v>215</v>
      </c>
      <c r="P46" s="239">
        <v>2</v>
      </c>
      <c r="Q46" s="100" t="s">
        <v>1355</v>
      </c>
      <c r="R46" s="100">
        <v>0</v>
      </c>
      <c r="S46" s="100">
        <f>"="</f>
        <v>0</v>
      </c>
      <c r="T46" s="100">
        <f>P46*R46</f>
        <v>0</v>
      </c>
    </row>
    <row r="47" spans="1:20" ht="12.75">
      <c r="A47" s="58" t="s">
        <v>1388</v>
      </c>
      <c r="B47" s="115"/>
      <c r="C47" s="72"/>
      <c r="D47" s="115">
        <f>93/2</f>
        <v>46.5</v>
      </c>
      <c r="E47" s="117">
        <f>Retail_Prices!$H$246</f>
        <v>35.853532</v>
      </c>
      <c r="F47" s="118">
        <f>D47*E47</f>
        <v>1667.1892380000002</v>
      </c>
      <c r="H47" s="236" t="s">
        <v>1373</v>
      </c>
      <c r="I47" s="100">
        <v>3</v>
      </c>
      <c r="J47" s="100" t="s">
        <v>1355</v>
      </c>
      <c r="K47" s="100">
        <v>6</v>
      </c>
      <c r="L47" s="100">
        <f>"="</f>
        <v>0</v>
      </c>
      <c r="M47" s="100">
        <f>I47*K47</f>
        <v>18</v>
      </c>
      <c r="O47" s="236" t="s">
        <v>1373</v>
      </c>
      <c r="P47" s="100">
        <v>3</v>
      </c>
      <c r="Q47" s="100" t="s">
        <v>1355</v>
      </c>
      <c r="R47" s="100">
        <v>6</v>
      </c>
      <c r="S47" s="100">
        <f>"="</f>
        <v>0</v>
      </c>
      <c r="T47" s="100">
        <f>P47*R47</f>
        <v>18</v>
      </c>
    </row>
    <row r="48" spans="1:20" ht="12.75" customHeight="1">
      <c r="A48" s="58" t="s">
        <v>1390</v>
      </c>
      <c r="B48" s="115"/>
      <c r="C48" s="72"/>
      <c r="D48" s="115">
        <f>4*2</f>
        <v>8</v>
      </c>
      <c r="E48" s="117">
        <f>Retail_Prices!$H$247</f>
        <v>18.4756</v>
      </c>
      <c r="F48" s="118">
        <f>D48*E48</f>
        <v>147.8048</v>
      </c>
      <c r="H48" s="236"/>
      <c r="I48" s="98" t="s">
        <v>64</v>
      </c>
      <c r="J48" s="98"/>
      <c r="K48" s="98"/>
      <c r="L48" s="98"/>
      <c r="M48" s="100">
        <f>SUM(M38:M47)</f>
        <v>26</v>
      </c>
      <c r="O48" s="236"/>
      <c r="P48" s="98" t="s">
        <v>64</v>
      </c>
      <c r="Q48" s="98"/>
      <c r="R48" s="98"/>
      <c r="S48" s="98"/>
      <c r="T48" s="100">
        <f>SUM(T38:T47)</f>
        <v>26</v>
      </c>
    </row>
    <row r="49" spans="1:6" ht="12.75">
      <c r="A49" s="36" t="s">
        <v>1398</v>
      </c>
      <c r="B49" s="115"/>
      <c r="C49" s="72"/>
      <c r="D49" s="115"/>
      <c r="E49" s="117"/>
      <c r="F49" s="118">
        <v>7000</v>
      </c>
    </row>
    <row r="50" spans="1:6" ht="12.75">
      <c r="A50" s="36" t="s">
        <v>1399</v>
      </c>
      <c r="B50" s="115"/>
      <c r="C50" s="72"/>
      <c r="D50" s="115"/>
      <c r="E50" s="117"/>
      <c r="F50" s="118">
        <v>300</v>
      </c>
    </row>
    <row r="51" spans="1:27" ht="12.75">
      <c r="A51" s="36" t="s">
        <v>161</v>
      </c>
      <c r="B51" s="115"/>
      <c r="C51" s="72"/>
      <c r="D51" s="115">
        <v>1</v>
      </c>
      <c r="E51" s="117">
        <v>150</v>
      </c>
      <c r="F51" s="118">
        <f>D51*E51</f>
        <v>150</v>
      </c>
      <c r="H51" s="285" t="s">
        <v>1400</v>
      </c>
      <c r="I51" s="98"/>
      <c r="J51" s="236"/>
      <c r="K51" s="236"/>
      <c r="L51" s="236"/>
      <c r="M51" s="236"/>
      <c r="O51" s="285" t="s">
        <v>1400</v>
      </c>
      <c r="P51" s="98"/>
      <c r="Q51" s="236"/>
      <c r="R51" s="236"/>
      <c r="S51" s="236"/>
      <c r="T51" s="236"/>
      <c r="W51" s="110" t="s">
        <v>1401</v>
      </c>
      <c r="X51" s="110"/>
      <c r="Y51" s="110"/>
      <c r="Z51" s="110"/>
      <c r="AA51" s="110"/>
    </row>
    <row r="52" spans="1:27" ht="12.75">
      <c r="A52" s="58"/>
      <c r="F52" s="113"/>
      <c r="H52" s="236" t="s">
        <v>1353</v>
      </c>
      <c r="I52" s="98" t="s">
        <v>1354</v>
      </c>
      <c r="J52" s="98" t="s">
        <v>1355</v>
      </c>
      <c r="K52" s="98" t="s">
        <v>1356</v>
      </c>
      <c r="L52" s="98">
        <f>"="</f>
        <v>0</v>
      </c>
      <c r="M52" s="98"/>
      <c r="O52" s="236" t="s">
        <v>1353</v>
      </c>
      <c r="P52" s="98" t="s">
        <v>1354</v>
      </c>
      <c r="Q52" s="98" t="s">
        <v>1355</v>
      </c>
      <c r="R52" s="98" t="s">
        <v>1356</v>
      </c>
      <c r="S52" s="98">
        <f>"="</f>
        <v>0</v>
      </c>
      <c r="T52" s="98"/>
      <c r="W52" s="100" t="s">
        <v>1402</v>
      </c>
      <c r="X52" s="100" t="s">
        <v>1403</v>
      </c>
      <c r="Y52" s="100" t="s">
        <v>1404</v>
      </c>
      <c r="Z52" s="100" t="s">
        <v>1405</v>
      </c>
      <c r="AA52" s="100" t="s">
        <v>1406</v>
      </c>
    </row>
    <row r="53" spans="1:27" ht="12.75">
      <c r="A53" s="114"/>
      <c r="B53" s="115"/>
      <c r="C53" s="72"/>
      <c r="D53" s="115"/>
      <c r="E53" s="117"/>
      <c r="F53" s="118"/>
      <c r="H53" s="236" t="s">
        <v>1358</v>
      </c>
      <c r="I53" s="239">
        <v>2</v>
      </c>
      <c r="J53" s="100" t="s">
        <v>1355</v>
      </c>
      <c r="K53" s="100">
        <v>0</v>
      </c>
      <c r="L53" s="100">
        <f>"="</f>
        <v>0</v>
      </c>
      <c r="M53" s="100">
        <f>I53*K53</f>
        <v>0</v>
      </c>
      <c r="O53" s="236" t="s">
        <v>1358</v>
      </c>
      <c r="P53" s="239">
        <v>2</v>
      </c>
      <c r="Q53" s="100" t="s">
        <v>1355</v>
      </c>
      <c r="R53" s="100">
        <v>0</v>
      </c>
      <c r="S53" s="100">
        <f>"="</f>
        <v>0</v>
      </c>
      <c r="T53" s="100">
        <f>P53*R53</f>
        <v>0</v>
      </c>
      <c r="W53" s="100">
        <v>1</v>
      </c>
      <c r="X53" s="100">
        <v>12</v>
      </c>
      <c r="Y53" s="289">
        <v>4909</v>
      </c>
      <c r="Z53" s="289">
        <f>Y53-X53</f>
        <v>4897</v>
      </c>
      <c r="AA53" s="239"/>
    </row>
    <row r="54" spans="1:27" ht="12.75">
      <c r="A54" s="175" t="s">
        <v>6</v>
      </c>
      <c r="B54" s="176"/>
      <c r="C54" s="176"/>
      <c r="D54" s="176"/>
      <c r="E54" s="176"/>
      <c r="F54" s="177">
        <f>SUM(F41:F53)</f>
        <v>10787.23615</v>
      </c>
      <c r="H54" s="236" t="s">
        <v>1360</v>
      </c>
      <c r="I54" s="239">
        <v>1</v>
      </c>
      <c r="J54" s="100" t="s">
        <v>1355</v>
      </c>
      <c r="K54" s="100">
        <v>0</v>
      </c>
      <c r="L54" s="100">
        <f>"="</f>
        <v>0</v>
      </c>
      <c r="M54" s="100">
        <f>I54*K54</f>
        <v>0</v>
      </c>
      <c r="O54" s="236" t="s">
        <v>1360</v>
      </c>
      <c r="P54" s="239">
        <v>1</v>
      </c>
      <c r="Q54" s="100" t="s">
        <v>1355</v>
      </c>
      <c r="R54" s="100">
        <v>0</v>
      </c>
      <c r="S54" s="100">
        <f>"="</f>
        <v>0</v>
      </c>
      <c r="T54" s="100">
        <f>P54*R54</f>
        <v>0</v>
      </c>
      <c r="W54" s="100">
        <v>2</v>
      </c>
      <c r="X54" s="100">
        <v>12</v>
      </c>
      <c r="Y54" s="289">
        <v>4909.5</v>
      </c>
      <c r="Z54" s="289">
        <f>Y54-X54</f>
        <v>4897.5</v>
      </c>
      <c r="AA54" s="239"/>
    </row>
    <row r="55" spans="8:27" ht="12.75">
      <c r="H55" s="236" t="s">
        <v>1362</v>
      </c>
      <c r="I55" s="239">
        <v>2</v>
      </c>
      <c r="J55" s="100" t="s">
        <v>1355</v>
      </c>
      <c r="K55" s="100">
        <v>0</v>
      </c>
      <c r="L55" s="100">
        <f>"="</f>
        <v>0</v>
      </c>
      <c r="M55" s="100">
        <f>I55*K55</f>
        <v>0</v>
      </c>
      <c r="O55" s="236" t="s">
        <v>1362</v>
      </c>
      <c r="P55" s="239">
        <v>2</v>
      </c>
      <c r="Q55" s="100" t="s">
        <v>1355</v>
      </c>
      <c r="R55" s="100">
        <v>0</v>
      </c>
      <c r="S55" s="100">
        <f>"="</f>
        <v>0</v>
      </c>
      <c r="T55" s="100">
        <f>P55*R55</f>
        <v>0</v>
      </c>
      <c r="W55" s="100">
        <v>3</v>
      </c>
      <c r="X55" s="100">
        <v>9</v>
      </c>
      <c r="Y55" s="289">
        <v>4907.5</v>
      </c>
      <c r="Z55" s="289">
        <f>Y55-X55</f>
        <v>4898.5</v>
      </c>
      <c r="AA55" s="239"/>
    </row>
    <row r="56" spans="8:27" ht="12.75">
      <c r="H56" s="236" t="s">
        <v>1364</v>
      </c>
      <c r="I56" s="239">
        <v>2</v>
      </c>
      <c r="J56" s="100" t="s">
        <v>1355</v>
      </c>
      <c r="K56" s="100">
        <v>0</v>
      </c>
      <c r="L56" s="100">
        <f>"="</f>
        <v>0</v>
      </c>
      <c r="M56" s="100">
        <f>I56*K56</f>
        <v>0</v>
      </c>
      <c r="O56" s="236" t="s">
        <v>1364</v>
      </c>
      <c r="P56" s="239">
        <v>2</v>
      </c>
      <c r="Q56" s="100" t="s">
        <v>1355</v>
      </c>
      <c r="R56" s="100">
        <v>0</v>
      </c>
      <c r="S56" s="100">
        <f>"="</f>
        <v>0</v>
      </c>
      <c r="T56" s="100">
        <f>P56*R56</f>
        <v>0</v>
      </c>
      <c r="W56" s="100">
        <v>4</v>
      </c>
      <c r="X56" s="100">
        <v>5</v>
      </c>
      <c r="Y56" s="289">
        <v>4904.5</v>
      </c>
      <c r="Z56" s="289">
        <f>Y56-X56</f>
        <v>4899.5</v>
      </c>
      <c r="AA56" s="239"/>
    </row>
    <row r="57" spans="1:27" ht="12.75">
      <c r="A57" s="98" t="s">
        <v>1407</v>
      </c>
      <c r="B57" s="98"/>
      <c r="C57" s="98"/>
      <c r="D57" s="98"/>
      <c r="E57" s="98"/>
      <c r="F57" s="98"/>
      <c r="H57" s="236" t="s">
        <v>1366</v>
      </c>
      <c r="I57" s="239">
        <v>1</v>
      </c>
      <c r="J57" s="100" t="s">
        <v>1355</v>
      </c>
      <c r="K57" s="100">
        <v>0</v>
      </c>
      <c r="L57" s="100">
        <f>"="</f>
        <v>0</v>
      </c>
      <c r="M57" s="100">
        <f>I57*K57</f>
        <v>0</v>
      </c>
      <c r="O57" s="236" t="s">
        <v>1366</v>
      </c>
      <c r="P57" s="239">
        <v>1</v>
      </c>
      <c r="Q57" s="100" t="s">
        <v>1355</v>
      </c>
      <c r="R57" s="100">
        <v>0</v>
      </c>
      <c r="S57" s="100">
        <f>"="</f>
        <v>0</v>
      </c>
      <c r="T57" s="100">
        <f>P57*R57</f>
        <v>0</v>
      </c>
      <c r="W57" s="100">
        <v>5</v>
      </c>
      <c r="X57" s="100">
        <v>6</v>
      </c>
      <c r="Y57" s="289">
        <v>4903.5</v>
      </c>
      <c r="Z57" s="289">
        <f>Y57-X57</f>
        <v>4897.5</v>
      </c>
      <c r="AA57" s="239"/>
    </row>
    <row r="58" spans="1:27" ht="12.75">
      <c r="A58" s="125" t="s">
        <v>606</v>
      </c>
      <c r="B58" s="126"/>
      <c r="C58" s="126"/>
      <c r="D58" s="115"/>
      <c r="E58" s="126"/>
      <c r="F58" s="152" t="s">
        <v>6</v>
      </c>
      <c r="H58" s="236" t="s">
        <v>1368</v>
      </c>
      <c r="I58" s="239">
        <v>1</v>
      </c>
      <c r="J58" s="100" t="s">
        <v>1355</v>
      </c>
      <c r="K58" s="100">
        <v>5</v>
      </c>
      <c r="L58" s="100">
        <f>"="</f>
        <v>0</v>
      </c>
      <c r="M58" s="100">
        <f>I58*K58</f>
        <v>5</v>
      </c>
      <c r="O58" s="236" t="s">
        <v>1368</v>
      </c>
      <c r="P58" s="239">
        <v>1</v>
      </c>
      <c r="Q58" s="100" t="s">
        <v>1355</v>
      </c>
      <c r="R58" s="100">
        <v>5</v>
      </c>
      <c r="S58" s="100">
        <f>"="</f>
        <v>0</v>
      </c>
      <c r="T58" s="100">
        <f>P58*R58</f>
        <v>5</v>
      </c>
      <c r="W58" s="100">
        <v>6</v>
      </c>
      <c r="X58" s="100">
        <v>12</v>
      </c>
      <c r="Y58" s="289">
        <v>4903.5</v>
      </c>
      <c r="Z58" s="289">
        <f>Y58-X58</f>
        <v>4891.5</v>
      </c>
      <c r="AA58" s="239"/>
    </row>
    <row r="59" spans="1:27" ht="12.75">
      <c r="A59" s="42" t="s">
        <v>1397</v>
      </c>
      <c r="B59" s="115"/>
      <c r="C59" s="72"/>
      <c r="D59" s="115">
        <v>1</v>
      </c>
      <c r="E59" s="117">
        <v>972</v>
      </c>
      <c r="F59" s="118">
        <f>D59*E59</f>
        <v>972</v>
      </c>
      <c r="H59" s="236" t="s">
        <v>216</v>
      </c>
      <c r="I59" s="239">
        <v>2</v>
      </c>
      <c r="J59" s="100" t="s">
        <v>1355</v>
      </c>
      <c r="K59" s="100">
        <v>2</v>
      </c>
      <c r="L59" s="100">
        <f>"="</f>
        <v>0</v>
      </c>
      <c r="M59" s="100">
        <f>I59*K59</f>
        <v>4</v>
      </c>
      <c r="O59" s="236" t="s">
        <v>216</v>
      </c>
      <c r="P59" s="239">
        <v>2</v>
      </c>
      <c r="Q59" s="100" t="s">
        <v>1355</v>
      </c>
      <c r="R59" s="100">
        <v>2</v>
      </c>
      <c r="S59" s="100">
        <f>"="</f>
        <v>0</v>
      </c>
      <c r="T59" s="100">
        <f>P59*R59</f>
        <v>4</v>
      </c>
      <c r="W59" s="100">
        <v>7</v>
      </c>
      <c r="X59" s="100">
        <v>12</v>
      </c>
      <c r="Y59" s="289">
        <v>4890</v>
      </c>
      <c r="Z59" s="289">
        <f>Y59-X59</f>
        <v>4878</v>
      </c>
      <c r="AA59" s="239"/>
    </row>
    <row r="60" spans="1:27" ht="12.75">
      <c r="A60" s="42" t="s">
        <v>1359</v>
      </c>
      <c r="B60" s="115"/>
      <c r="C60" s="72"/>
      <c r="D60" s="115"/>
      <c r="E60" s="117"/>
      <c r="F60" s="118">
        <v>225</v>
      </c>
      <c r="H60" s="236" t="s">
        <v>1371</v>
      </c>
      <c r="I60" s="239">
        <v>2</v>
      </c>
      <c r="J60" s="100" t="s">
        <v>1355</v>
      </c>
      <c r="K60" s="100">
        <v>4</v>
      </c>
      <c r="L60" s="100">
        <f>"="</f>
        <v>0</v>
      </c>
      <c r="M60" s="100">
        <f>I60*K60</f>
        <v>8</v>
      </c>
      <c r="O60" s="236" t="s">
        <v>1371</v>
      </c>
      <c r="P60" s="239">
        <v>2</v>
      </c>
      <c r="Q60" s="100" t="s">
        <v>1355</v>
      </c>
      <c r="R60" s="100">
        <v>4</v>
      </c>
      <c r="S60" s="100">
        <f>"="</f>
        <v>0</v>
      </c>
      <c r="T60" s="100">
        <f>P60*R60</f>
        <v>8</v>
      </c>
      <c r="W60" s="100">
        <v>8</v>
      </c>
      <c r="X60" s="100">
        <v>8</v>
      </c>
      <c r="Y60" s="289">
        <v>4884.5</v>
      </c>
      <c r="Z60" s="289">
        <f>Y60-X60</f>
        <v>4876.5</v>
      </c>
      <c r="AA60" s="239"/>
    </row>
    <row r="61" spans="1:20" ht="12.75">
      <c r="A61" s="42" t="s">
        <v>1363</v>
      </c>
      <c r="B61" s="115"/>
      <c r="C61" s="72"/>
      <c r="D61" s="115">
        <v>1</v>
      </c>
      <c r="E61" s="117">
        <v>75</v>
      </c>
      <c r="F61" s="118">
        <f>D61*E61</f>
        <v>75</v>
      </c>
      <c r="H61" s="236" t="s">
        <v>215</v>
      </c>
      <c r="I61" s="239">
        <v>2</v>
      </c>
      <c r="J61" s="100" t="s">
        <v>1355</v>
      </c>
      <c r="K61" s="100">
        <v>3</v>
      </c>
      <c r="L61" s="100">
        <f>"="</f>
        <v>0</v>
      </c>
      <c r="M61" s="100">
        <f>I61*K61</f>
        <v>6</v>
      </c>
      <c r="O61" s="236" t="s">
        <v>215</v>
      </c>
      <c r="P61" s="239">
        <v>2</v>
      </c>
      <c r="Q61" s="100" t="s">
        <v>1355</v>
      </c>
      <c r="R61" s="100">
        <v>3</v>
      </c>
      <c r="S61" s="100">
        <f>"="</f>
        <v>0</v>
      </c>
      <c r="T61" s="100">
        <f>P61*R61</f>
        <v>6</v>
      </c>
    </row>
    <row r="62" spans="1:20" ht="12.75">
      <c r="A62" s="42" t="s">
        <v>1365</v>
      </c>
      <c r="B62" s="115"/>
      <c r="C62" s="72"/>
      <c r="D62" s="115">
        <v>1</v>
      </c>
      <c r="E62" s="117">
        <v>60</v>
      </c>
      <c r="F62" s="118">
        <f>D62*E62</f>
        <v>60</v>
      </c>
      <c r="H62" s="236" t="s">
        <v>1373</v>
      </c>
      <c r="I62" s="100">
        <v>3</v>
      </c>
      <c r="J62" s="100" t="s">
        <v>1355</v>
      </c>
      <c r="K62" s="100">
        <v>0</v>
      </c>
      <c r="L62" s="100">
        <f>"="</f>
        <v>0</v>
      </c>
      <c r="M62" s="100">
        <f>I62*K62</f>
        <v>0</v>
      </c>
      <c r="O62" s="236" t="s">
        <v>1373</v>
      </c>
      <c r="P62" s="100">
        <v>3</v>
      </c>
      <c r="Q62" s="100" t="s">
        <v>1355</v>
      </c>
      <c r="R62" s="100">
        <v>0</v>
      </c>
      <c r="S62" s="100">
        <f>"="</f>
        <v>0</v>
      </c>
      <c r="T62" s="100">
        <f>P62*R62</f>
        <v>0</v>
      </c>
    </row>
    <row r="63" spans="1:20" ht="12.75">
      <c r="A63" t="s">
        <v>1367</v>
      </c>
      <c r="D63" s="72">
        <v>1</v>
      </c>
      <c r="E63" s="117">
        <v>60</v>
      </c>
      <c r="F63" s="118">
        <f>D63*E63</f>
        <v>60</v>
      </c>
      <c r="H63" s="236"/>
      <c r="I63" s="98" t="s">
        <v>64</v>
      </c>
      <c r="J63" s="98"/>
      <c r="K63" s="98"/>
      <c r="L63" s="98"/>
      <c r="M63" s="100">
        <f>SUM(M53:M62)</f>
        <v>23</v>
      </c>
      <c r="O63" s="236"/>
      <c r="P63" s="98" t="s">
        <v>64</v>
      </c>
      <c r="Q63" s="98"/>
      <c r="R63" s="98"/>
      <c r="S63" s="98"/>
      <c r="T63" s="100">
        <f>SUM(T53:T62)</f>
        <v>23</v>
      </c>
    </row>
    <row r="64" spans="1:6" ht="12.75">
      <c r="A64" s="36" t="s">
        <v>1369</v>
      </c>
      <c r="B64" s="115"/>
      <c r="C64" s="72"/>
      <c r="D64" s="115">
        <v>80</v>
      </c>
      <c r="E64" s="117">
        <f>Retail_Prices!$H$245</f>
        <v>1.6280264</v>
      </c>
      <c r="F64" s="118">
        <f>D64*E64</f>
        <v>130.242112</v>
      </c>
    </row>
    <row r="65" spans="1:6" ht="12.75">
      <c r="A65" t="s">
        <v>1408</v>
      </c>
      <c r="B65" s="115"/>
      <c r="C65" s="72"/>
      <c r="D65" s="115">
        <f>93/2</f>
        <v>46.5</v>
      </c>
      <c r="E65" s="117">
        <f>Retail_Prices!$H$246</f>
        <v>35.853532</v>
      </c>
      <c r="F65" s="118">
        <v>1000</v>
      </c>
    </row>
    <row r="66" spans="1:20" ht="12.75">
      <c r="A66" t="s">
        <v>1409</v>
      </c>
      <c r="B66" s="115"/>
      <c r="C66" s="72"/>
      <c r="D66" s="115">
        <f>4*2</f>
        <v>8</v>
      </c>
      <c r="E66" s="117">
        <f>Retail_Prices!$H$247</f>
        <v>18.4756</v>
      </c>
      <c r="F66" s="118">
        <v>250</v>
      </c>
      <c r="M66" s="22">
        <f>M48+M63</f>
        <v>49</v>
      </c>
      <c r="T66" s="22">
        <f>T48+T63</f>
        <v>49</v>
      </c>
    </row>
    <row r="67" spans="1:6" ht="12.75">
      <c r="A67" s="36" t="s">
        <v>1398</v>
      </c>
      <c r="B67" s="115"/>
      <c r="C67" s="72"/>
      <c r="D67" s="115"/>
      <c r="E67" s="117"/>
      <c r="F67" s="118">
        <v>7000</v>
      </c>
    </row>
    <row r="68" spans="1:27" ht="12.75">
      <c r="A68" t="s">
        <v>1410</v>
      </c>
      <c r="D68" s="115">
        <v>1</v>
      </c>
      <c r="E68" s="117">
        <v>500</v>
      </c>
      <c r="F68" s="118">
        <v>250</v>
      </c>
      <c r="O68" s="285" t="s">
        <v>6</v>
      </c>
      <c r="P68" s="98"/>
      <c r="Q68" s="236"/>
      <c r="R68" s="236"/>
      <c r="S68" s="236"/>
      <c r="T68" s="236"/>
      <c r="W68" s="110" t="s">
        <v>1411</v>
      </c>
      <c r="X68" s="110"/>
      <c r="Y68" s="110"/>
      <c r="Z68" s="110"/>
      <c r="AA68" s="110"/>
    </row>
    <row r="69" spans="1:27" ht="12.75">
      <c r="A69" s="36" t="s">
        <v>1399</v>
      </c>
      <c r="B69" s="115"/>
      <c r="C69" s="72"/>
      <c r="D69" s="115"/>
      <c r="E69" s="117"/>
      <c r="F69" s="118">
        <v>300</v>
      </c>
      <c r="O69" s="236" t="s">
        <v>1353</v>
      </c>
      <c r="P69" s="98" t="s">
        <v>1354</v>
      </c>
      <c r="Q69" s="98" t="s">
        <v>1355</v>
      </c>
      <c r="R69" s="98" t="s">
        <v>1356</v>
      </c>
      <c r="S69" s="98">
        <f>"="</f>
        <v>0</v>
      </c>
      <c r="T69" s="98"/>
      <c r="W69" s="100" t="s">
        <v>1402</v>
      </c>
      <c r="X69" s="100" t="s">
        <v>1403</v>
      </c>
      <c r="Y69" s="100" t="s">
        <v>1404</v>
      </c>
      <c r="Z69" s="100" t="s">
        <v>1405</v>
      </c>
      <c r="AA69" s="100" t="s">
        <v>1406</v>
      </c>
    </row>
    <row r="70" spans="1:27" ht="12.75">
      <c r="A70" s="36" t="s">
        <v>161</v>
      </c>
      <c r="B70" s="115"/>
      <c r="C70" s="72"/>
      <c r="D70" s="115">
        <v>1</v>
      </c>
      <c r="E70" s="117">
        <v>150</v>
      </c>
      <c r="F70" s="118">
        <v>250</v>
      </c>
      <c r="O70" s="236" t="s">
        <v>1358</v>
      </c>
      <c r="P70" s="239">
        <v>2</v>
      </c>
      <c r="Q70" s="100" t="s">
        <v>1355</v>
      </c>
      <c r="R70" s="100">
        <v>0</v>
      </c>
      <c r="S70" s="100">
        <f>"="</f>
        <v>0</v>
      </c>
      <c r="T70" s="100">
        <f>P70*R70</f>
        <v>0</v>
      </c>
      <c r="W70" s="100">
        <v>1</v>
      </c>
      <c r="X70" s="100">
        <f>Y70-Z70</f>
        <v>14.5</v>
      </c>
      <c r="Y70" s="289">
        <v>4911.5</v>
      </c>
      <c r="Z70" s="289">
        <v>4897</v>
      </c>
      <c r="AA70" s="239"/>
    </row>
    <row r="71" spans="1:27" ht="12.75">
      <c r="A71" s="114"/>
      <c r="B71" s="115"/>
      <c r="C71" s="72"/>
      <c r="D71" s="115"/>
      <c r="E71" s="117"/>
      <c r="F71" s="118"/>
      <c r="O71" s="236" t="s">
        <v>1360</v>
      </c>
      <c r="P71" s="239">
        <v>1</v>
      </c>
      <c r="Q71" s="100" t="s">
        <v>1355</v>
      </c>
      <c r="R71" s="100">
        <v>1</v>
      </c>
      <c r="S71" s="100">
        <f>"="</f>
        <v>0</v>
      </c>
      <c r="T71" s="100">
        <f>P71*R71</f>
        <v>1</v>
      </c>
      <c r="W71" s="100">
        <v>2</v>
      </c>
      <c r="X71" s="100">
        <f>Y71-Z71</f>
        <v>15.5</v>
      </c>
      <c r="Y71" s="289">
        <v>4913</v>
      </c>
      <c r="Z71" s="289">
        <v>4897.5</v>
      </c>
      <c r="AA71" s="239"/>
    </row>
    <row r="72" spans="1:27" ht="12.75">
      <c r="A72" s="175" t="s">
        <v>6</v>
      </c>
      <c r="B72" s="176"/>
      <c r="C72" s="176"/>
      <c r="D72" s="176"/>
      <c r="E72" s="176"/>
      <c r="F72" s="177">
        <f>SUM(F59:F71)</f>
        <v>10572.242112</v>
      </c>
      <c r="O72" s="236" t="s">
        <v>1362</v>
      </c>
      <c r="P72" s="239">
        <v>2</v>
      </c>
      <c r="Q72" s="100" t="s">
        <v>1355</v>
      </c>
      <c r="R72" s="100">
        <v>2</v>
      </c>
      <c r="S72" s="100">
        <f>"="</f>
        <v>0</v>
      </c>
      <c r="T72" s="100">
        <f>P72*R72</f>
        <v>4</v>
      </c>
      <c r="W72" s="100">
        <v>3</v>
      </c>
      <c r="X72" s="100">
        <f>Y72-Z72</f>
        <v>15.5</v>
      </c>
      <c r="Y72" s="289">
        <v>4914</v>
      </c>
      <c r="Z72" s="289">
        <v>4898.5</v>
      </c>
      <c r="AA72" s="239"/>
    </row>
    <row r="73" spans="15:27" ht="12.75">
      <c r="O73" s="236" t="s">
        <v>1364</v>
      </c>
      <c r="P73" s="239">
        <v>2</v>
      </c>
      <c r="Q73" s="100" t="s">
        <v>1355</v>
      </c>
      <c r="R73" s="100">
        <v>0</v>
      </c>
      <c r="S73" s="100">
        <f>"="</f>
        <v>0</v>
      </c>
      <c r="T73" s="100">
        <f>P73*R73</f>
        <v>0</v>
      </c>
      <c r="W73" s="100">
        <v>4</v>
      </c>
      <c r="X73" s="100">
        <f>Y73-Z73</f>
        <v>5</v>
      </c>
      <c r="Y73" s="289">
        <v>4904.5</v>
      </c>
      <c r="Z73" s="289">
        <v>4899.5</v>
      </c>
      <c r="AA73" s="239"/>
    </row>
    <row r="74" spans="15:27" ht="12.75">
      <c r="O74" s="236" t="s">
        <v>1366</v>
      </c>
      <c r="P74" s="239">
        <v>1</v>
      </c>
      <c r="Q74" s="100" t="s">
        <v>1355</v>
      </c>
      <c r="R74" s="100">
        <v>1</v>
      </c>
      <c r="S74" s="100">
        <f>"="</f>
        <v>0</v>
      </c>
      <c r="T74" s="100">
        <f>P74*R74</f>
        <v>1</v>
      </c>
      <c r="W74" s="100">
        <v>5</v>
      </c>
      <c r="X74" s="100">
        <f>Y74-Z74</f>
        <v>8.5</v>
      </c>
      <c r="Y74" s="289">
        <v>4906</v>
      </c>
      <c r="Z74" s="289">
        <v>4897.5</v>
      </c>
      <c r="AA74" s="239"/>
    </row>
    <row r="75" spans="1:27" ht="12.75">
      <c r="A75" s="98" t="s">
        <v>1412</v>
      </c>
      <c r="B75" s="98"/>
      <c r="C75" s="98"/>
      <c r="D75" s="98"/>
      <c r="E75" s="98"/>
      <c r="F75" s="98"/>
      <c r="H75" t="s">
        <v>1378</v>
      </c>
      <c r="I75" s="72">
        <f>"="</f>
        <v>0</v>
      </c>
      <c r="J75">
        <v>0.4</v>
      </c>
      <c r="O75" s="236" t="s">
        <v>1368</v>
      </c>
      <c r="P75" s="239">
        <v>1</v>
      </c>
      <c r="Q75" s="100" t="s">
        <v>1355</v>
      </c>
      <c r="R75" s="100">
        <v>5</v>
      </c>
      <c r="S75" s="100">
        <f>"="</f>
        <v>0</v>
      </c>
      <c r="T75" s="100">
        <f>P75*R75</f>
        <v>5</v>
      </c>
      <c r="W75" s="100">
        <v>6</v>
      </c>
      <c r="X75" s="100">
        <f>Y75-Z75</f>
        <v>16.5</v>
      </c>
      <c r="Y75" s="289">
        <v>4908</v>
      </c>
      <c r="Z75" s="289">
        <v>4891.5</v>
      </c>
      <c r="AA75" s="239"/>
    </row>
    <row r="76" spans="1:27" ht="12.75">
      <c r="A76" s="125" t="s">
        <v>606</v>
      </c>
      <c r="B76" s="126"/>
      <c r="C76" s="126"/>
      <c r="D76" s="115"/>
      <c r="E76" s="126"/>
      <c r="F76" s="152" t="s">
        <v>6</v>
      </c>
      <c r="H76" t="s">
        <v>1379</v>
      </c>
      <c r="I76" s="72">
        <f>"="</f>
        <v>0</v>
      </c>
      <c r="J76" s="22">
        <f>((3.41677)*(J75^1.13)+1)*J75</f>
        <v>0.8852924410456876</v>
      </c>
      <c r="O76" s="236" t="s">
        <v>216</v>
      </c>
      <c r="P76" s="239">
        <v>2</v>
      </c>
      <c r="Q76" s="100" t="s">
        <v>1355</v>
      </c>
      <c r="R76" s="100">
        <v>2</v>
      </c>
      <c r="S76" s="100">
        <f>"="</f>
        <v>0</v>
      </c>
      <c r="T76" s="100">
        <f>P76*R76</f>
        <v>4</v>
      </c>
      <c r="W76" s="100">
        <v>7</v>
      </c>
      <c r="X76" s="100">
        <f>Y76-Z76</f>
        <v>12.5</v>
      </c>
      <c r="Y76" s="289">
        <v>4890.5</v>
      </c>
      <c r="Z76" s="289">
        <v>4878</v>
      </c>
      <c r="AA76" s="239"/>
    </row>
    <row r="77" spans="1:27" ht="12.75">
      <c r="A77" s="61" t="s">
        <v>1413</v>
      </c>
      <c r="B77" s="115"/>
      <c r="C77" s="72"/>
      <c r="D77" s="115">
        <v>1</v>
      </c>
      <c r="E77" s="117">
        <f>Retail_Prices!$H$259</f>
        <v>4167.878</v>
      </c>
      <c r="F77" s="118">
        <f>D77*E77</f>
        <v>4167.878</v>
      </c>
      <c r="H77" t="s">
        <v>1381</v>
      </c>
      <c r="I77" s="72">
        <f>"="</f>
        <v>0</v>
      </c>
      <c r="J77">
        <v>1050</v>
      </c>
      <c r="O77" s="236" t="s">
        <v>1371</v>
      </c>
      <c r="P77" s="239">
        <v>2</v>
      </c>
      <c r="Q77" s="100" t="s">
        <v>1355</v>
      </c>
      <c r="R77" s="100">
        <v>3</v>
      </c>
      <c r="S77" s="100">
        <f>"="</f>
        <v>0</v>
      </c>
      <c r="T77" s="100">
        <f>P77*R77</f>
        <v>6</v>
      </c>
      <c r="W77" s="100">
        <v>8</v>
      </c>
      <c r="X77" s="100">
        <f>Y77-Z77</f>
        <v>8</v>
      </c>
      <c r="Y77" s="289">
        <v>4884.5</v>
      </c>
      <c r="Z77" s="289">
        <v>4876.5</v>
      </c>
      <c r="AA77" s="239"/>
    </row>
    <row r="78" spans="1:20" ht="12.75">
      <c r="A78" s="42" t="s">
        <v>1359</v>
      </c>
      <c r="B78" s="115"/>
      <c r="C78" s="72"/>
      <c r="D78" s="115"/>
      <c r="E78" s="117"/>
      <c r="F78" s="118">
        <v>225</v>
      </c>
      <c r="H78" t="s">
        <v>1382</v>
      </c>
      <c r="I78" s="72">
        <f>"="</f>
        <v>0</v>
      </c>
      <c r="J78" s="22">
        <f>J77/J76</f>
        <v>1186.0487578090733</v>
      </c>
      <c r="O78" s="236" t="s">
        <v>215</v>
      </c>
      <c r="P78" s="239">
        <v>2</v>
      </c>
      <c r="Q78" s="100" t="s">
        <v>1355</v>
      </c>
      <c r="R78" s="100">
        <v>2</v>
      </c>
      <c r="S78" s="100">
        <f>"="</f>
        <v>0</v>
      </c>
      <c r="T78" s="100">
        <f>P78*R78</f>
        <v>4</v>
      </c>
    </row>
    <row r="79" spans="1:20" ht="12.75">
      <c r="A79" s="42" t="s">
        <v>1361</v>
      </c>
      <c r="B79" s="115"/>
      <c r="C79" s="72"/>
      <c r="D79" s="115">
        <f>J83</f>
        <v>318</v>
      </c>
      <c r="E79" s="117">
        <f>Retail_Prices!$H$244*1.15</f>
        <v>1.24857018</v>
      </c>
      <c r="F79" s="118">
        <f>D79*E79</f>
        <v>397.04531724</v>
      </c>
      <c r="H79" t="s">
        <v>1383</v>
      </c>
      <c r="I79" s="72" t="s">
        <v>1384</v>
      </c>
      <c r="J79">
        <v>20</v>
      </c>
      <c r="O79" s="236" t="s">
        <v>1373</v>
      </c>
      <c r="P79" s="100">
        <v>3</v>
      </c>
      <c r="Q79" s="100" t="s">
        <v>1355</v>
      </c>
      <c r="R79" s="100">
        <v>5</v>
      </c>
      <c r="S79" s="100">
        <f>"="</f>
        <v>0</v>
      </c>
      <c r="T79" s="100">
        <f>P79*R79</f>
        <v>15</v>
      </c>
    </row>
    <row r="80" spans="1:20" ht="12.75">
      <c r="A80" s="42" t="s">
        <v>1363</v>
      </c>
      <c r="B80" s="115"/>
      <c r="C80" s="72"/>
      <c r="D80" s="115">
        <v>1</v>
      </c>
      <c r="E80" s="117">
        <v>75</v>
      </c>
      <c r="F80" s="118">
        <f>D80*E80</f>
        <v>75</v>
      </c>
      <c r="H80" t="s">
        <v>1385</v>
      </c>
      <c r="I80" s="72" t="s">
        <v>1384</v>
      </c>
      <c r="J80" s="22">
        <f>J78/J79</f>
        <v>59.30243789045367</v>
      </c>
      <c r="O80" s="236"/>
      <c r="P80" s="98" t="s">
        <v>64</v>
      </c>
      <c r="Q80" s="98"/>
      <c r="R80" s="98"/>
      <c r="S80" s="98"/>
      <c r="T80" s="100">
        <f>SUM(T70:T79)</f>
        <v>40</v>
      </c>
    </row>
    <row r="81" spans="1:10" ht="12.75">
      <c r="A81" s="42" t="s">
        <v>1365</v>
      </c>
      <c r="B81" s="115"/>
      <c r="C81" s="72"/>
      <c r="D81" s="115">
        <v>1</v>
      </c>
      <c r="E81" s="117">
        <v>60</v>
      </c>
      <c r="F81" s="118">
        <f>D81*E81</f>
        <v>60</v>
      </c>
      <c r="H81" t="s">
        <v>1386</v>
      </c>
      <c r="I81" s="72" t="s">
        <v>1384</v>
      </c>
      <c r="J81" s="72">
        <f>J83/4</f>
        <v>79.5</v>
      </c>
    </row>
    <row r="82" spans="1:10" ht="12.75">
      <c r="A82" t="s">
        <v>1367</v>
      </c>
      <c r="D82" s="72">
        <v>1</v>
      </c>
      <c r="E82" s="117">
        <v>60</v>
      </c>
      <c r="F82" s="118">
        <f>D82*E82</f>
        <v>60</v>
      </c>
      <c r="H82" t="s">
        <v>1387</v>
      </c>
      <c r="I82" s="72" t="s">
        <v>1384</v>
      </c>
      <c r="J82" s="72">
        <f>J80*4</f>
        <v>237.20975156181467</v>
      </c>
    </row>
    <row r="83" spans="1:10" ht="12.75">
      <c r="A83" s="36" t="s">
        <v>1369</v>
      </c>
      <c r="B83" s="115"/>
      <c r="C83" s="72"/>
      <c r="D83" s="115">
        <v>80</v>
      </c>
      <c r="E83" s="117">
        <f>Retail_Prices!$H$245</f>
        <v>1.6280264</v>
      </c>
      <c r="F83" s="118">
        <f>D83*E83</f>
        <v>130.242112</v>
      </c>
      <c r="H83" t="s">
        <v>1389</v>
      </c>
      <c r="I83" s="72" t="s">
        <v>1384</v>
      </c>
      <c r="J83" s="72">
        <v>318</v>
      </c>
    </row>
    <row r="84" spans="1:10" ht="12.75">
      <c r="A84" s="42" t="s">
        <v>1370</v>
      </c>
      <c r="B84" s="115"/>
      <c r="C84" s="72"/>
      <c r="D84" s="115">
        <f>J87</f>
        <v>98.04999999999998</v>
      </c>
      <c r="E84" s="117">
        <f>Retail_Prices!$H$243</f>
        <v>22.8228</v>
      </c>
      <c r="F84" s="118">
        <f>D84*E84</f>
        <v>2237.7755399999996</v>
      </c>
      <c r="H84" t="s">
        <v>1391</v>
      </c>
      <c r="I84" s="72" t="s">
        <v>1384</v>
      </c>
      <c r="J84" s="72">
        <f>1*3+(19/12)*1*2</f>
        <v>6.166666666666666</v>
      </c>
    </row>
    <row r="85" spans="1:11" ht="12.75">
      <c r="A85" s="36" t="s">
        <v>1372</v>
      </c>
      <c r="B85" s="115"/>
      <c r="C85" s="72"/>
      <c r="D85" s="115">
        <f>J81</f>
        <v>79.5</v>
      </c>
      <c r="E85" s="117">
        <f>Retail_Prices!$H$241</f>
        <v>117.3744</v>
      </c>
      <c r="F85" s="118">
        <f>D85*E85</f>
        <v>9331.264799999999</v>
      </c>
      <c r="H85" t="s">
        <v>1392</v>
      </c>
      <c r="I85" s="72" t="s">
        <v>1384</v>
      </c>
      <c r="J85" s="72">
        <f>J83*J84</f>
        <v>1960.9999999999998</v>
      </c>
      <c r="K85" s="22">
        <f>J85/3/3/3</f>
        <v>72.62962962962963</v>
      </c>
    </row>
    <row r="86" spans="1:10" ht="12.75">
      <c r="A86" s="36" t="s">
        <v>161</v>
      </c>
      <c r="B86" s="115"/>
      <c r="C86" s="72"/>
      <c r="D86" s="115">
        <v>1</v>
      </c>
      <c r="E86" s="117">
        <v>150</v>
      </c>
      <c r="F86" s="118">
        <f>D86*E86</f>
        <v>150</v>
      </c>
      <c r="H86" t="s">
        <v>1393</v>
      </c>
      <c r="I86" s="72" t="s">
        <v>1384</v>
      </c>
      <c r="J86" s="72">
        <v>100</v>
      </c>
    </row>
    <row r="87" spans="1:10" ht="12.75">
      <c r="A87" s="252"/>
      <c r="B87" s="115"/>
      <c r="C87" s="72"/>
      <c r="D87" s="115"/>
      <c r="E87" s="117"/>
      <c r="F87" s="118"/>
      <c r="H87" t="s">
        <v>1394</v>
      </c>
      <c r="I87" s="72" t="s">
        <v>1384</v>
      </c>
      <c r="J87" s="72">
        <f>J85*J86/2000</f>
        <v>98.04999999999998</v>
      </c>
    </row>
    <row r="88" spans="1:6" ht="12.75">
      <c r="A88" s="252"/>
      <c r="B88" s="115"/>
      <c r="C88" s="72"/>
      <c r="D88" s="115"/>
      <c r="E88" s="117"/>
      <c r="F88" s="118"/>
    </row>
    <row r="89" spans="1:6" ht="12.75">
      <c r="A89" s="114"/>
      <c r="B89" s="115"/>
      <c r="C89" s="72"/>
      <c r="D89" s="115"/>
      <c r="E89" s="117"/>
      <c r="F89" s="118"/>
    </row>
    <row r="90" spans="1:6" ht="12.75">
      <c r="A90" s="175" t="s">
        <v>6</v>
      </c>
      <c r="B90" s="176"/>
      <c r="C90" s="176"/>
      <c r="D90" s="176"/>
      <c r="E90" s="176"/>
      <c r="F90" s="177">
        <f>SUM(F77:F89)</f>
        <v>16834.205769239998</v>
      </c>
    </row>
    <row r="93" spans="1:10" ht="12.75">
      <c r="A93" s="98" t="s">
        <v>1414</v>
      </c>
      <c r="B93" s="98"/>
      <c r="C93" s="98"/>
      <c r="D93" s="98"/>
      <c r="E93" s="98"/>
      <c r="F93" s="98"/>
      <c r="H93" t="s">
        <v>1378</v>
      </c>
      <c r="I93" s="72">
        <f>"="</f>
        <v>0</v>
      </c>
      <c r="J93">
        <v>0.4</v>
      </c>
    </row>
    <row r="94" spans="1:10" ht="12.75">
      <c r="A94" s="125" t="s">
        <v>606</v>
      </c>
      <c r="B94" s="126"/>
      <c r="C94" s="126"/>
      <c r="D94" s="115"/>
      <c r="E94" s="126"/>
      <c r="F94" s="152" t="s">
        <v>6</v>
      </c>
      <c r="H94" t="s">
        <v>1379</v>
      </c>
      <c r="I94" s="72">
        <f>"="</f>
        <v>0</v>
      </c>
      <c r="J94" s="22">
        <f>((3.41677)*(J93^1.13)+1)*J93</f>
        <v>0.8852924410456876</v>
      </c>
    </row>
    <row r="95" spans="1:10" ht="12.75">
      <c r="A95" s="61" t="s">
        <v>1415</v>
      </c>
      <c r="B95" s="115"/>
      <c r="C95" s="72"/>
      <c r="D95" s="115">
        <v>1</v>
      </c>
      <c r="E95" s="117">
        <v>3500</v>
      </c>
      <c r="F95" s="118">
        <f>D95*E95</f>
        <v>3500</v>
      </c>
      <c r="H95" t="s">
        <v>1381</v>
      </c>
      <c r="I95" s="72">
        <f>"="</f>
        <v>0</v>
      </c>
      <c r="J95">
        <v>900</v>
      </c>
    </row>
    <row r="96" spans="1:10" ht="12.75">
      <c r="A96" s="42" t="s">
        <v>1359</v>
      </c>
      <c r="B96" s="115"/>
      <c r="C96" s="72"/>
      <c r="D96" s="115"/>
      <c r="E96" s="117"/>
      <c r="F96" s="118">
        <v>225</v>
      </c>
      <c r="H96" t="s">
        <v>1382</v>
      </c>
      <c r="I96" s="72">
        <f>"="</f>
        <v>0</v>
      </c>
      <c r="J96" s="22">
        <f>J95/J94</f>
        <v>1016.6132209792056</v>
      </c>
    </row>
    <row r="97" spans="1:10" ht="12.75">
      <c r="A97" s="42" t="s">
        <v>1361</v>
      </c>
      <c r="B97" s="115"/>
      <c r="C97" s="72"/>
      <c r="D97" s="115">
        <f>J101</f>
        <v>280</v>
      </c>
      <c r="E97" s="117">
        <f>Retail_Prices!$H$244*1.15</f>
        <v>1.24857018</v>
      </c>
      <c r="F97" s="118">
        <f>D97*E97</f>
        <v>349.5996504</v>
      </c>
      <c r="H97" t="s">
        <v>1383</v>
      </c>
      <c r="I97" s="72" t="s">
        <v>1384</v>
      </c>
      <c r="J97">
        <v>20</v>
      </c>
    </row>
    <row r="98" spans="1:10" ht="12.75">
      <c r="A98" s="42" t="s">
        <v>1363</v>
      </c>
      <c r="B98" s="115"/>
      <c r="C98" s="72"/>
      <c r="D98" s="115">
        <v>1</v>
      </c>
      <c r="E98" s="117">
        <v>75</v>
      </c>
      <c r="F98" s="118">
        <f>D98*E98</f>
        <v>75</v>
      </c>
      <c r="H98" t="s">
        <v>1385</v>
      </c>
      <c r="I98" s="72" t="s">
        <v>1384</v>
      </c>
      <c r="J98" s="22">
        <f>J96/J97</f>
        <v>50.83066104896028</v>
      </c>
    </row>
    <row r="99" spans="1:10" ht="12.75">
      <c r="A99" s="42" t="s">
        <v>1365</v>
      </c>
      <c r="B99" s="115"/>
      <c r="C99" s="72"/>
      <c r="D99" s="115">
        <v>1</v>
      </c>
      <c r="E99" s="117">
        <v>60</v>
      </c>
      <c r="F99" s="118">
        <f>D99*E99</f>
        <v>60</v>
      </c>
      <c r="H99" t="s">
        <v>1386</v>
      </c>
      <c r="I99" s="72" t="s">
        <v>1384</v>
      </c>
      <c r="J99" s="72">
        <v>68</v>
      </c>
    </row>
    <row r="100" spans="1:10" ht="12.75">
      <c r="A100" t="s">
        <v>1367</v>
      </c>
      <c r="D100" s="72">
        <v>1</v>
      </c>
      <c r="E100" s="117">
        <v>60</v>
      </c>
      <c r="F100" s="118">
        <f>D100*E100</f>
        <v>60</v>
      </c>
      <c r="H100" t="s">
        <v>1387</v>
      </c>
      <c r="I100" s="72" t="s">
        <v>1384</v>
      </c>
      <c r="J100" s="72">
        <f>J98*4</f>
        <v>203.32264419584112</v>
      </c>
    </row>
    <row r="101" spans="1:10" ht="12.75">
      <c r="A101" s="36" t="s">
        <v>1369</v>
      </c>
      <c r="B101" s="115"/>
      <c r="C101" s="72"/>
      <c r="D101" s="115">
        <f>218.5+4*8</f>
        <v>250.5</v>
      </c>
      <c r="E101" s="117">
        <f>Retail_Prices!$H$245</f>
        <v>1.6280264</v>
      </c>
      <c r="F101" s="118">
        <f>D101*E101</f>
        <v>407.82061319999997</v>
      </c>
      <c r="H101" t="s">
        <v>1389</v>
      </c>
      <c r="I101" s="72" t="s">
        <v>1384</v>
      </c>
      <c r="J101" s="72">
        <v>280</v>
      </c>
    </row>
    <row r="102" spans="1:10" ht="12.75">
      <c r="A102" s="42" t="s">
        <v>1370</v>
      </c>
      <c r="B102" s="115"/>
      <c r="C102" s="72"/>
      <c r="D102" s="115">
        <f>J105</f>
        <v>112.29166666666667</v>
      </c>
      <c r="E102" s="117">
        <f>Retail_Prices!$H$243</f>
        <v>22.8228</v>
      </c>
      <c r="F102" s="118">
        <f>D102*E102</f>
        <v>2562.81025</v>
      </c>
      <c r="H102" t="s">
        <v>1391</v>
      </c>
      <c r="I102" s="72" t="s">
        <v>1384</v>
      </c>
      <c r="J102" s="72">
        <f>5.5*1*((15/12)*(7/12))*2</f>
        <v>8.020833333333334</v>
      </c>
    </row>
    <row r="103" spans="1:11" ht="12.75">
      <c r="A103" s="36" t="s">
        <v>1372</v>
      </c>
      <c r="B103" s="115"/>
      <c r="C103" s="72"/>
      <c r="D103" s="115">
        <v>68</v>
      </c>
      <c r="E103" s="117">
        <f>Retail_Prices!$H$241</f>
        <v>117.3744</v>
      </c>
      <c r="F103" s="118">
        <f>D103*E103</f>
        <v>7981.459199999999</v>
      </c>
      <c r="H103" t="s">
        <v>1392</v>
      </c>
      <c r="I103" s="72" t="s">
        <v>1384</v>
      </c>
      <c r="J103" s="72">
        <f>J101*J102</f>
        <v>2245.8333333333335</v>
      </c>
      <c r="K103" s="22">
        <f>J103/3/3/3</f>
        <v>83.17901234567903</v>
      </c>
    </row>
    <row r="104" spans="1:10" ht="12.75">
      <c r="A104" s="36" t="s">
        <v>161</v>
      </c>
      <c r="B104" s="115"/>
      <c r="C104" s="72"/>
      <c r="D104" s="115">
        <v>1</v>
      </c>
      <c r="E104" s="117">
        <v>150</v>
      </c>
      <c r="F104" s="118">
        <f>D104*E104</f>
        <v>150</v>
      </c>
      <c r="H104" t="s">
        <v>1393</v>
      </c>
      <c r="I104" s="72" t="s">
        <v>1384</v>
      </c>
      <c r="J104" s="72">
        <v>100</v>
      </c>
    </row>
    <row r="105" spans="1:10" ht="12.75">
      <c r="A105" s="252"/>
      <c r="B105" s="115"/>
      <c r="C105" s="72"/>
      <c r="D105" s="115"/>
      <c r="E105" s="117"/>
      <c r="F105" s="118"/>
      <c r="H105" t="s">
        <v>1394</v>
      </c>
      <c r="I105" s="72" t="s">
        <v>1384</v>
      </c>
      <c r="J105" s="72">
        <f>J103*J104/2000</f>
        <v>112.29166666666667</v>
      </c>
    </row>
    <row r="106" spans="1:6" ht="12.75">
      <c r="A106" s="252"/>
      <c r="B106" s="115"/>
      <c r="C106" s="72"/>
      <c r="D106" s="115"/>
      <c r="E106" s="117"/>
      <c r="F106" s="118"/>
    </row>
    <row r="107" spans="1:10" ht="12.75">
      <c r="A107" s="114"/>
      <c r="B107" s="115"/>
      <c r="C107" s="72"/>
      <c r="D107" s="115"/>
      <c r="E107" s="117"/>
      <c r="F107" s="118"/>
      <c r="J107" s="22">
        <f>J103/3/3/3</f>
        <v>83.17901234567903</v>
      </c>
    </row>
    <row r="108" spans="1:6" ht="12.75">
      <c r="A108" s="175" t="s">
        <v>6</v>
      </c>
      <c r="B108" s="176"/>
      <c r="C108" s="176"/>
      <c r="D108" s="176"/>
      <c r="E108" s="176"/>
      <c r="F108" s="177">
        <f>SUM(F95:F107)</f>
        <v>15371.689713599999</v>
      </c>
    </row>
    <row r="111" spans="1:10" ht="12.75">
      <c r="A111" s="98" t="s">
        <v>1416</v>
      </c>
      <c r="B111" s="98"/>
      <c r="C111" s="98"/>
      <c r="D111" s="98"/>
      <c r="E111" s="98"/>
      <c r="F111" s="98"/>
      <c r="H111" t="s">
        <v>1378</v>
      </c>
      <c r="I111" s="72">
        <f>"="</f>
        <v>0</v>
      </c>
      <c r="J111">
        <v>0.4</v>
      </c>
    </row>
    <row r="112" spans="1:10" ht="12.75">
      <c r="A112" s="125" t="s">
        <v>606</v>
      </c>
      <c r="B112" s="126"/>
      <c r="C112" s="126"/>
      <c r="D112" s="115"/>
      <c r="E112" s="126"/>
      <c r="F112" s="152" t="s">
        <v>6</v>
      </c>
      <c r="H112" t="s">
        <v>1379</v>
      </c>
      <c r="I112" s="72">
        <f>"="</f>
        <v>0</v>
      </c>
      <c r="J112" s="22">
        <f>((3.41677)*(J111^1.13)+1)*J111</f>
        <v>0.8852924410456876</v>
      </c>
    </row>
    <row r="113" spans="1:10" ht="12.75">
      <c r="A113" s="61" t="s">
        <v>1417</v>
      </c>
      <c r="B113" s="115"/>
      <c r="C113" s="72"/>
      <c r="D113" s="115">
        <v>1</v>
      </c>
      <c r="E113" s="117">
        <v>1700</v>
      </c>
      <c r="F113" s="118">
        <f>D113*E113</f>
        <v>1700</v>
      </c>
      <c r="H113" t="s">
        <v>1381</v>
      </c>
      <c r="I113" s="72">
        <f>"="</f>
        <v>0</v>
      </c>
      <c r="J113">
        <v>1050</v>
      </c>
    </row>
    <row r="114" spans="1:10" ht="12.75">
      <c r="A114" s="42" t="s">
        <v>1359</v>
      </c>
      <c r="B114" s="115"/>
      <c r="C114" s="72"/>
      <c r="D114" s="115"/>
      <c r="E114" s="117"/>
      <c r="F114" s="118">
        <v>225</v>
      </c>
      <c r="H114" t="s">
        <v>1382</v>
      </c>
      <c r="I114" s="72">
        <f>"="</f>
        <v>0</v>
      </c>
      <c r="J114" s="22">
        <f>J113/J112</f>
        <v>1186.0487578090733</v>
      </c>
    </row>
    <row r="115" spans="1:10" ht="12.75">
      <c r="A115" s="42" t="s">
        <v>1361</v>
      </c>
      <c r="B115" s="115"/>
      <c r="C115" s="72"/>
      <c r="D115" s="115">
        <f>J119</f>
        <v>227</v>
      </c>
      <c r="E115" s="117">
        <f>Retail_Prices!$H$244*1.15</f>
        <v>1.24857018</v>
      </c>
      <c r="F115" s="118">
        <f>D115*E115</f>
        <v>283.42543086</v>
      </c>
      <c r="H115" t="s">
        <v>1383</v>
      </c>
      <c r="I115" s="72" t="s">
        <v>1384</v>
      </c>
      <c r="J115">
        <v>20</v>
      </c>
    </row>
    <row r="116" spans="1:10" ht="12.75">
      <c r="A116" s="42" t="s">
        <v>1363</v>
      </c>
      <c r="B116" s="115"/>
      <c r="C116" s="72"/>
      <c r="D116" s="115">
        <v>1</v>
      </c>
      <c r="E116" s="117">
        <v>75</v>
      </c>
      <c r="F116" s="118">
        <f>D116*E116</f>
        <v>75</v>
      </c>
      <c r="H116" t="s">
        <v>1385</v>
      </c>
      <c r="I116" s="72" t="s">
        <v>1384</v>
      </c>
      <c r="J116" s="22">
        <f>J114/J115</f>
        <v>59.30243789045367</v>
      </c>
    </row>
    <row r="117" spans="1:10" ht="12.75">
      <c r="A117" s="42" t="s">
        <v>1365</v>
      </c>
      <c r="B117" s="115"/>
      <c r="C117" s="72"/>
      <c r="D117" s="115">
        <v>1</v>
      </c>
      <c r="E117" s="117">
        <v>60</v>
      </c>
      <c r="F117" s="118">
        <f>D117*E117</f>
        <v>60</v>
      </c>
      <c r="H117" t="s">
        <v>1386</v>
      </c>
      <c r="I117" s="72" t="s">
        <v>1384</v>
      </c>
      <c r="J117" s="72">
        <f>227/4</f>
        <v>56.75</v>
      </c>
    </row>
    <row r="118" spans="1:10" ht="12.75">
      <c r="A118" t="s">
        <v>1367</v>
      </c>
      <c r="D118" s="72">
        <v>1</v>
      </c>
      <c r="E118" s="117">
        <v>60</v>
      </c>
      <c r="F118" s="118">
        <f>D118*E118</f>
        <v>60</v>
      </c>
      <c r="H118" t="s">
        <v>1387</v>
      </c>
      <c r="I118" s="72" t="s">
        <v>1384</v>
      </c>
      <c r="J118" s="72">
        <f>J116*4</f>
        <v>237.20975156181467</v>
      </c>
    </row>
    <row r="119" spans="1:10" ht="12.75">
      <c r="A119" s="36" t="s">
        <v>1369</v>
      </c>
      <c r="B119" s="115"/>
      <c r="C119" s="72"/>
      <c r="D119" s="115">
        <v>80</v>
      </c>
      <c r="E119" s="117">
        <f>Retail_Prices!$H$245</f>
        <v>1.6280264</v>
      </c>
      <c r="F119" s="118">
        <f>D119*E119</f>
        <v>130.242112</v>
      </c>
      <c r="H119" t="s">
        <v>1389</v>
      </c>
      <c r="I119" s="72" t="s">
        <v>1384</v>
      </c>
      <c r="J119" s="72">
        <v>227</v>
      </c>
    </row>
    <row r="120" spans="1:10" ht="12.75">
      <c r="A120" s="42" t="s">
        <v>1370</v>
      </c>
      <c r="B120" s="115"/>
      <c r="C120" s="72"/>
      <c r="D120" s="115">
        <f>J123</f>
        <v>69.99166666666666</v>
      </c>
      <c r="E120" s="117">
        <f>Retail_Prices!$H$243</f>
        <v>22.8228</v>
      </c>
      <c r="F120" s="118">
        <f>D120*E120</f>
        <v>1597.40581</v>
      </c>
      <c r="H120" t="s">
        <v>1391</v>
      </c>
      <c r="I120" s="72" t="s">
        <v>1384</v>
      </c>
      <c r="J120" s="72">
        <f>1*3+(19/12)*1*2</f>
        <v>6.166666666666666</v>
      </c>
    </row>
    <row r="121" spans="1:11" ht="12.75">
      <c r="A121" s="36" t="s">
        <v>1372</v>
      </c>
      <c r="B121" s="115"/>
      <c r="C121" s="72"/>
      <c r="D121" s="115">
        <f>J117</f>
        <v>56.75</v>
      </c>
      <c r="E121" s="117">
        <f>Retail_Prices!$H$241</f>
        <v>117.3744</v>
      </c>
      <c r="F121" s="118">
        <f>D121*E121</f>
        <v>6660.9972</v>
      </c>
      <c r="H121" t="s">
        <v>1392</v>
      </c>
      <c r="I121" s="72" t="s">
        <v>1384</v>
      </c>
      <c r="J121" s="72">
        <f>J119*J120</f>
        <v>1399.8333333333333</v>
      </c>
      <c r="K121" s="22">
        <f>J121/3/3/3</f>
        <v>51.84567901234568</v>
      </c>
    </row>
    <row r="122" spans="1:10" ht="12.75">
      <c r="A122" s="36" t="s">
        <v>161</v>
      </c>
      <c r="B122" s="115"/>
      <c r="C122" s="72"/>
      <c r="D122" s="115">
        <v>1</v>
      </c>
      <c r="E122" s="117">
        <v>150</v>
      </c>
      <c r="F122" s="118">
        <f>D122*E122</f>
        <v>150</v>
      </c>
      <c r="H122" t="s">
        <v>1393</v>
      </c>
      <c r="I122" s="72" t="s">
        <v>1384</v>
      </c>
      <c r="J122" s="72">
        <v>100</v>
      </c>
    </row>
    <row r="123" spans="1:10" ht="12.75">
      <c r="A123" s="252"/>
      <c r="B123" s="115"/>
      <c r="C123" s="72"/>
      <c r="D123" s="115"/>
      <c r="E123" s="117"/>
      <c r="F123" s="118"/>
      <c r="H123" t="s">
        <v>1394</v>
      </c>
      <c r="I123" s="72" t="s">
        <v>1384</v>
      </c>
      <c r="J123" s="72">
        <f>J121*J122/2000</f>
        <v>69.99166666666666</v>
      </c>
    </row>
    <row r="124" spans="1:6" ht="12.75">
      <c r="A124" s="252"/>
      <c r="B124" s="115"/>
      <c r="C124" s="72"/>
      <c r="D124" s="115"/>
      <c r="E124" s="117"/>
      <c r="F124" s="118"/>
    </row>
    <row r="125" spans="1:6" ht="12.75">
      <c r="A125" s="114"/>
      <c r="B125" s="115"/>
      <c r="C125" s="72"/>
      <c r="D125" s="115"/>
      <c r="E125" s="117"/>
      <c r="F125" s="118"/>
    </row>
    <row r="126" spans="1:6" ht="12.75">
      <c r="A126" s="175" t="s">
        <v>6</v>
      </c>
      <c r="B126" s="176"/>
      <c r="C126" s="176"/>
      <c r="D126" s="176"/>
      <c r="E126" s="176"/>
      <c r="F126" s="177">
        <f>SUM(F113:F125)</f>
        <v>10942.07055286</v>
      </c>
    </row>
  </sheetData>
  <sheetProtection selectLockedCells="1" selectUnlockedCells="1"/>
  <mergeCells count="20">
    <mergeCell ref="A3:F3"/>
    <mergeCell ref="I15:L15"/>
    <mergeCell ref="P15:S15"/>
    <mergeCell ref="H18:M18"/>
    <mergeCell ref="O18:T18"/>
    <mergeCell ref="A21:F21"/>
    <mergeCell ref="A39:F39"/>
    <mergeCell ref="I48:L48"/>
    <mergeCell ref="P48:S48"/>
    <mergeCell ref="W51:AA51"/>
    <mergeCell ref="AA53:AA60"/>
    <mergeCell ref="A57:F57"/>
    <mergeCell ref="I63:L63"/>
    <mergeCell ref="P63:S63"/>
    <mergeCell ref="W68:AA68"/>
    <mergeCell ref="AA70:AA77"/>
    <mergeCell ref="A75:F75"/>
    <mergeCell ref="P80:S80"/>
    <mergeCell ref="A93:F93"/>
    <mergeCell ref="A111:F11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dimension ref="A3:Q88"/>
  <sheetViews>
    <sheetView zoomScale="90" zoomScaleNormal="90" workbookViewId="0" topLeftCell="A1">
      <selection activeCell="G12" sqref="G12"/>
    </sheetView>
  </sheetViews>
  <sheetFormatPr defaultColWidth="12.57421875" defaultRowHeight="12.75"/>
  <cols>
    <col min="1" max="1" width="22.00390625" style="0" customWidth="1"/>
    <col min="2" max="2" width="16.7109375" style="0" customWidth="1"/>
    <col min="3" max="11" width="11.57421875" style="0" customWidth="1"/>
    <col min="12" max="12" width="24.00390625" style="0" customWidth="1"/>
    <col min="13" max="16" width="11.57421875" style="0" customWidth="1"/>
    <col min="17" max="17" width="13.57421875" style="0" customWidth="1"/>
    <col min="18" max="16384" width="11.57421875" style="0" customWidth="1"/>
  </cols>
  <sheetData>
    <row r="3" spans="2:17" ht="12.75" customHeight="1">
      <c r="B3" s="98" t="s">
        <v>1418</v>
      </c>
      <c r="C3" s="98"/>
      <c r="D3" s="98"/>
      <c r="E3" s="98"/>
      <c r="F3" s="98"/>
      <c r="G3" s="98"/>
      <c r="I3" s="111" t="s">
        <v>533</v>
      </c>
      <c r="J3" s="112" t="s">
        <v>534</v>
      </c>
      <c r="L3" s="98" t="s">
        <v>1419</v>
      </c>
      <c r="M3" s="98"/>
      <c r="N3" s="98"/>
      <c r="O3" s="98"/>
      <c r="P3" s="98"/>
      <c r="Q3" s="98"/>
    </row>
    <row r="4" spans="2:17" ht="12.75">
      <c r="B4" s="125" t="s">
        <v>606</v>
      </c>
      <c r="C4" s="126"/>
      <c r="D4" s="126"/>
      <c r="E4" s="115" t="s">
        <v>588</v>
      </c>
      <c r="F4" s="126" t="s">
        <v>545</v>
      </c>
      <c r="G4" s="152" t="s">
        <v>6</v>
      </c>
      <c r="I4" s="42" t="str">
        <f>B3</f>
        <v>Electric</v>
      </c>
      <c r="J4" s="56">
        <f>G10</f>
        <v>11000</v>
      </c>
      <c r="L4" s="125" t="s">
        <v>606</v>
      </c>
      <c r="M4" s="126" t="s">
        <v>1420</v>
      </c>
      <c r="N4" s="126"/>
      <c r="O4" s="115"/>
      <c r="P4" s="126" t="s">
        <v>688</v>
      </c>
      <c r="Q4" s="152" t="s">
        <v>6</v>
      </c>
    </row>
    <row r="5" spans="2:17" ht="12.75">
      <c r="B5" s="114" t="s">
        <v>26</v>
      </c>
      <c r="C5" s="115"/>
      <c r="D5" s="72"/>
      <c r="E5" s="115"/>
      <c r="F5" s="72"/>
      <c r="G5" s="116">
        <v>4000</v>
      </c>
      <c r="I5" s="42"/>
      <c r="J5" s="113"/>
      <c r="L5" s="290" t="s">
        <v>1421</v>
      </c>
      <c r="M5" s="115">
        <v>1</v>
      </c>
      <c r="N5" s="72"/>
      <c r="O5" s="115"/>
      <c r="P5" s="248">
        <f>Retail_Prices!H249</f>
        <v>466.23720000000003</v>
      </c>
      <c r="Q5" s="215">
        <f>M5*P5</f>
        <v>466.23720000000003</v>
      </c>
    </row>
    <row r="6" spans="2:17" ht="12.75">
      <c r="B6" s="114" t="s">
        <v>33</v>
      </c>
      <c r="C6" s="115"/>
      <c r="D6" s="72"/>
      <c r="E6" s="115"/>
      <c r="F6" s="72"/>
      <c r="G6" s="116">
        <v>7000</v>
      </c>
      <c r="I6" s="42"/>
      <c r="J6" s="113"/>
      <c r="L6" s="290" t="s">
        <v>1422</v>
      </c>
      <c r="M6" s="115">
        <v>1</v>
      </c>
      <c r="N6" s="72"/>
      <c r="O6" s="115"/>
      <c r="P6" s="248">
        <f>Retail_Prices!H250</f>
        <v>345.6024</v>
      </c>
      <c r="Q6" s="215">
        <f>M6*P6</f>
        <v>345.6024</v>
      </c>
    </row>
    <row r="7" spans="2:17" ht="12.75">
      <c r="B7" s="114" t="s">
        <v>1423</v>
      </c>
      <c r="C7" s="115"/>
      <c r="D7" s="115"/>
      <c r="E7" s="115"/>
      <c r="F7" s="72"/>
      <c r="G7" s="116"/>
      <c r="I7" s="123" t="s">
        <v>6</v>
      </c>
      <c r="J7" s="124">
        <f>SUM(J4:J6)</f>
        <v>11000</v>
      </c>
      <c r="L7" s="36" t="s">
        <v>1424</v>
      </c>
      <c r="M7" s="115"/>
      <c r="N7" s="115"/>
      <c r="O7" s="115"/>
      <c r="P7" s="72"/>
      <c r="Q7" s="116"/>
    </row>
    <row r="8" spans="2:17" ht="12.75">
      <c r="B8" s="114" t="s">
        <v>1425</v>
      </c>
      <c r="C8" s="115"/>
      <c r="D8" s="72"/>
      <c r="E8" s="115"/>
      <c r="F8" s="72"/>
      <c r="G8" s="116"/>
      <c r="L8" s="36" t="s">
        <v>1426</v>
      </c>
      <c r="M8" s="115"/>
      <c r="N8" s="72"/>
      <c r="O8" s="115"/>
      <c r="P8" s="72"/>
      <c r="Q8" s="116"/>
    </row>
    <row r="9" spans="2:13" ht="12.75">
      <c r="B9" s="114"/>
      <c r="C9" s="115"/>
      <c r="D9" s="72"/>
      <c r="E9" s="115"/>
      <c r="F9" s="72"/>
      <c r="G9" s="116"/>
      <c r="L9" s="36" t="s">
        <v>1427</v>
      </c>
      <c r="M9" s="72"/>
    </row>
    <row r="10" spans="2:13" ht="12.75">
      <c r="B10" s="175" t="s">
        <v>6</v>
      </c>
      <c r="C10" s="176"/>
      <c r="D10" s="176"/>
      <c r="E10" s="176"/>
      <c r="F10" s="176"/>
      <c r="G10" s="177">
        <f>SUM(G5:G9)</f>
        <v>11000</v>
      </c>
      <c r="M10" s="72"/>
    </row>
    <row r="11" spans="12:13" ht="12.75">
      <c r="L11" s="290"/>
      <c r="M11" s="72"/>
    </row>
    <row r="12" spans="12:13" ht="12.75">
      <c r="L12" s="36" t="s">
        <v>1428</v>
      </c>
      <c r="M12" s="72"/>
    </row>
    <row r="13" spans="12:13" ht="12.75">
      <c r="L13" s="36" t="s">
        <v>1429</v>
      </c>
      <c r="M13" s="72"/>
    </row>
    <row r="14" spans="12:17" ht="12.75">
      <c r="L14" s="290" t="s">
        <v>1430</v>
      </c>
      <c r="M14" s="72">
        <v>22</v>
      </c>
      <c r="P14" s="215">
        <f>Retail_Prices!H251</f>
        <v>89.46537599999999</v>
      </c>
      <c r="Q14" s="215">
        <f>M14*P14</f>
        <v>1968.2382719999998</v>
      </c>
    </row>
    <row r="15" spans="12:17" ht="12.75">
      <c r="L15" s="290" t="s">
        <v>1431</v>
      </c>
      <c r="M15" s="72">
        <v>2</v>
      </c>
      <c r="P15" s="215">
        <f>Retail_Prices!H253</f>
        <v>80.510144</v>
      </c>
      <c r="Q15" s="215">
        <f>M15*P15</f>
        <v>161.020288</v>
      </c>
    </row>
    <row r="16" spans="12:17" ht="12.75">
      <c r="L16" s="290" t="s">
        <v>1432</v>
      </c>
      <c r="M16" s="72">
        <v>2</v>
      </c>
      <c r="P16" s="12">
        <f>Retail_Prices!G255</f>
        <v>83.6836</v>
      </c>
      <c r="Q16" s="12">
        <f>M16*P16</f>
        <v>167.3672</v>
      </c>
    </row>
    <row r="17" spans="12:17" ht="12.75">
      <c r="L17" t="s">
        <v>1433</v>
      </c>
      <c r="M17" s="72">
        <v>2</v>
      </c>
      <c r="P17" s="215">
        <f>Retail_Prices!H255</f>
        <v>83.6836</v>
      </c>
      <c r="Q17" s="215">
        <f>M17*P17</f>
        <v>167.3672</v>
      </c>
    </row>
    <row r="18" spans="12:17" ht="12.75">
      <c r="L18" t="s">
        <v>1434</v>
      </c>
      <c r="M18" s="72">
        <v>1</v>
      </c>
      <c r="P18" s="215">
        <f>Retail_Prices!H256</f>
        <v>213.0128</v>
      </c>
      <c r="Q18" s="215">
        <f>M18*P18</f>
        <v>213.0128</v>
      </c>
    </row>
    <row r="19" spans="12:17" ht="12.75">
      <c r="L19" t="s">
        <v>1435</v>
      </c>
      <c r="M19" s="72">
        <v>1</v>
      </c>
      <c r="P19" s="215">
        <f>Retail_Prices!H257</f>
        <v>76.043396</v>
      </c>
      <c r="Q19" s="215">
        <f>M19*P19</f>
        <v>76.043396</v>
      </c>
    </row>
    <row r="20" ht="12.75">
      <c r="M20" s="72"/>
    </row>
    <row r="21" spans="12:13" ht="12.75">
      <c r="L21" t="s">
        <v>1436</v>
      </c>
      <c r="M21" s="72"/>
    </row>
    <row r="22" ht="12.75">
      <c r="L22" t="s">
        <v>1437</v>
      </c>
    </row>
    <row r="23" ht="12.75">
      <c r="L23" t="s">
        <v>1438</v>
      </c>
    </row>
    <row r="24" spans="12:17" ht="12.75">
      <c r="L24" s="36" t="s">
        <v>1439</v>
      </c>
      <c r="M24" s="115"/>
      <c r="N24" s="72"/>
      <c r="O24" s="115"/>
      <c r="P24" s="72"/>
      <c r="Q24" s="116"/>
    </row>
    <row r="25" ht="12.75">
      <c r="L25" t="s">
        <v>1440</v>
      </c>
    </row>
    <row r="30" spans="12:17" ht="12.75">
      <c r="L30" s="175" t="s">
        <v>6</v>
      </c>
      <c r="M30" s="176"/>
      <c r="N30" s="176"/>
      <c r="O30" s="176"/>
      <c r="P30" s="176"/>
      <c r="Q30" s="177">
        <f>SUM(Q5:Q29)</f>
        <v>3564.8887560000003</v>
      </c>
    </row>
    <row r="34" spans="1:12" ht="12.75">
      <c r="A34" s="291" t="s">
        <v>1326</v>
      </c>
      <c r="B34" s="291"/>
      <c r="C34" s="291"/>
      <c r="D34" s="291"/>
      <c r="E34" s="291"/>
      <c r="F34" s="291"/>
      <c r="G34" s="291"/>
      <c r="H34" s="291"/>
      <c r="I34" s="291"/>
      <c r="J34" s="291"/>
      <c r="K34" s="291"/>
      <c r="L34" s="291"/>
    </row>
    <row r="36" spans="1:12" ht="12.75" customHeight="1">
      <c r="A36" s="96" t="s">
        <v>1441</v>
      </c>
      <c r="B36" s="96"/>
      <c r="C36" s="96"/>
      <c r="E36" s="96" t="s">
        <v>1442</v>
      </c>
      <c r="F36" s="96"/>
      <c r="G36" s="96"/>
      <c r="H36" s="96"/>
      <c r="I36" s="96"/>
      <c r="J36" s="96"/>
      <c r="K36" s="96"/>
      <c r="L36" s="96"/>
    </row>
    <row r="37" spans="5:12" ht="12.75" customHeight="1">
      <c r="E37" s="115" t="s">
        <v>1443</v>
      </c>
      <c r="F37" s="115"/>
      <c r="G37" s="115"/>
      <c r="H37" s="115"/>
      <c r="I37" s="115"/>
      <c r="J37" s="115"/>
      <c r="K37" s="115"/>
      <c r="L37" s="115"/>
    </row>
    <row r="38" spans="1:12" ht="12.75">
      <c r="A38" t="s">
        <v>1444</v>
      </c>
      <c r="B38" s="85">
        <f>5230*3</f>
        <v>15690</v>
      </c>
      <c r="C38" t="s">
        <v>1445</v>
      </c>
      <c r="E38" t="s">
        <v>1446</v>
      </c>
      <c r="F38" t="s">
        <v>1447</v>
      </c>
      <c r="G38" t="s">
        <v>1448</v>
      </c>
      <c r="H38" t="s">
        <v>1449</v>
      </c>
      <c r="I38" t="s">
        <v>1449</v>
      </c>
      <c r="J38" t="s">
        <v>1448</v>
      </c>
      <c r="K38" t="s">
        <v>1447</v>
      </c>
      <c r="L38" t="s">
        <v>1446</v>
      </c>
    </row>
    <row r="39" spans="1:12" ht="12.75">
      <c r="A39" t="s">
        <v>1450</v>
      </c>
      <c r="B39" s="85">
        <v>8000</v>
      </c>
      <c r="C39" t="s">
        <v>1445</v>
      </c>
      <c r="E39">
        <v>1</v>
      </c>
      <c r="F39" t="s">
        <v>1451</v>
      </c>
      <c r="G39" t="s">
        <v>1452</v>
      </c>
      <c r="H39" t="s">
        <v>1453</v>
      </c>
      <c r="I39" t="s">
        <v>1454</v>
      </c>
      <c r="J39" t="s">
        <v>1455</v>
      </c>
      <c r="K39" t="s">
        <v>1456</v>
      </c>
      <c r="L39">
        <v>2</v>
      </c>
    </row>
    <row r="40" spans="1:12" ht="12.75">
      <c r="A40" t="s">
        <v>1457</v>
      </c>
      <c r="B40" s="85">
        <v>5000</v>
      </c>
      <c r="C40" t="s">
        <v>1445</v>
      </c>
      <c r="E40">
        <v>3</v>
      </c>
      <c r="F40" t="s">
        <v>1451</v>
      </c>
      <c r="G40" t="s">
        <v>1452</v>
      </c>
      <c r="H40" t="s">
        <v>1453</v>
      </c>
      <c r="I40" t="s">
        <v>1458</v>
      </c>
      <c r="J40" t="s">
        <v>1459</v>
      </c>
      <c r="K40" t="s">
        <v>1460</v>
      </c>
      <c r="L40">
        <v>4</v>
      </c>
    </row>
    <row r="41" spans="1:12" ht="12.75">
      <c r="A41" t="s">
        <v>1461</v>
      </c>
      <c r="B41" s="85">
        <v>1500</v>
      </c>
      <c r="C41" t="s">
        <v>1445</v>
      </c>
      <c r="E41">
        <v>5</v>
      </c>
      <c r="F41" t="s">
        <v>1462</v>
      </c>
      <c r="G41" t="s">
        <v>1463</v>
      </c>
      <c r="H41" t="s">
        <v>1464</v>
      </c>
      <c r="I41" t="s">
        <v>1458</v>
      </c>
      <c r="J41" t="s">
        <v>1459</v>
      </c>
      <c r="K41" t="s">
        <v>1460</v>
      </c>
      <c r="L41">
        <v>6</v>
      </c>
    </row>
    <row r="42" spans="1:12" ht="12.75">
      <c r="A42" s="68" t="s">
        <v>1465</v>
      </c>
      <c r="B42" s="292">
        <f>15*120*4</f>
        <v>7200</v>
      </c>
      <c r="C42" t="s">
        <v>1445</v>
      </c>
      <c r="E42">
        <v>7</v>
      </c>
      <c r="F42" t="s">
        <v>1462</v>
      </c>
      <c r="G42" t="s">
        <v>1463</v>
      </c>
      <c r="H42" t="s">
        <v>1464</v>
      </c>
      <c r="I42" t="s">
        <v>1458</v>
      </c>
      <c r="J42" t="s">
        <v>1459</v>
      </c>
      <c r="K42" t="s">
        <v>1460</v>
      </c>
      <c r="L42">
        <v>8</v>
      </c>
    </row>
    <row r="43" spans="1:12" ht="12.75">
      <c r="A43" t="s">
        <v>1466</v>
      </c>
      <c r="B43" s="85">
        <v>1500</v>
      </c>
      <c r="C43" t="s">
        <v>1445</v>
      </c>
      <c r="E43">
        <v>9</v>
      </c>
      <c r="F43" t="s">
        <v>1467</v>
      </c>
      <c r="G43" t="s">
        <v>1463</v>
      </c>
      <c r="H43" t="s">
        <v>1464</v>
      </c>
      <c r="I43" t="s">
        <v>1458</v>
      </c>
      <c r="J43" t="s">
        <v>1459</v>
      </c>
      <c r="K43" t="s">
        <v>1460</v>
      </c>
      <c r="L43">
        <v>10</v>
      </c>
    </row>
    <row r="44" spans="1:12" ht="12.75">
      <c r="A44" t="s">
        <v>1468</v>
      </c>
      <c r="B44" s="85">
        <v>1500</v>
      </c>
      <c r="C44" t="s">
        <v>1445</v>
      </c>
      <c r="E44">
        <v>11</v>
      </c>
      <c r="F44" t="s">
        <v>1467</v>
      </c>
      <c r="G44" t="s">
        <v>1463</v>
      </c>
      <c r="H44" t="s">
        <v>1464</v>
      </c>
      <c r="I44" t="s">
        <v>1458</v>
      </c>
      <c r="J44" t="s">
        <v>1459</v>
      </c>
      <c r="K44" t="s">
        <v>1469</v>
      </c>
      <c r="L44">
        <v>12</v>
      </c>
    </row>
    <row r="45" spans="1:12" ht="12.75">
      <c r="A45" t="s">
        <v>1470</v>
      </c>
      <c r="B45" s="85">
        <v>1500</v>
      </c>
      <c r="C45" t="s">
        <v>1445</v>
      </c>
      <c r="E45">
        <v>13</v>
      </c>
      <c r="F45" t="s">
        <v>1471</v>
      </c>
      <c r="G45" t="s">
        <v>1472</v>
      </c>
      <c r="H45" t="s">
        <v>1473</v>
      </c>
      <c r="I45" t="s">
        <v>1458</v>
      </c>
      <c r="J45" t="s">
        <v>1459</v>
      </c>
      <c r="K45" t="s">
        <v>1469</v>
      </c>
      <c r="L45">
        <v>14</v>
      </c>
    </row>
    <row r="46" spans="1:12" ht="12.75">
      <c r="A46" t="s">
        <v>1474</v>
      </c>
      <c r="B46" s="85">
        <v>3000</v>
      </c>
      <c r="C46" t="s">
        <v>1445</v>
      </c>
      <c r="E46">
        <v>15</v>
      </c>
      <c r="F46" t="s">
        <v>1471</v>
      </c>
      <c r="G46" t="s">
        <v>1472</v>
      </c>
      <c r="H46" t="s">
        <v>1473</v>
      </c>
      <c r="I46" t="s">
        <v>1458</v>
      </c>
      <c r="J46" t="s">
        <v>1459</v>
      </c>
      <c r="K46" t="s">
        <v>1475</v>
      </c>
      <c r="L46">
        <v>16</v>
      </c>
    </row>
    <row r="47" spans="1:12" ht="12.75">
      <c r="A47" t="s">
        <v>1476</v>
      </c>
      <c r="B47" s="85">
        <v>1500</v>
      </c>
      <c r="C47" t="s">
        <v>1445</v>
      </c>
      <c r="E47">
        <v>17</v>
      </c>
      <c r="F47" t="s">
        <v>1477</v>
      </c>
      <c r="G47" t="s">
        <v>1459</v>
      </c>
      <c r="H47" t="s">
        <v>1478</v>
      </c>
      <c r="I47" t="s">
        <v>1458</v>
      </c>
      <c r="J47" t="s">
        <v>1459</v>
      </c>
      <c r="K47" t="s">
        <v>1475</v>
      </c>
      <c r="L47">
        <v>18</v>
      </c>
    </row>
    <row r="48" spans="1:12" ht="12.75">
      <c r="A48" t="s">
        <v>1479</v>
      </c>
      <c r="B48" s="85">
        <v>2250</v>
      </c>
      <c r="C48" t="s">
        <v>1445</v>
      </c>
      <c r="E48">
        <v>19</v>
      </c>
      <c r="F48" t="s">
        <v>1477</v>
      </c>
      <c r="G48" t="s">
        <v>1459</v>
      </c>
      <c r="H48" t="s">
        <v>1478</v>
      </c>
      <c r="I48" t="s">
        <v>1458</v>
      </c>
      <c r="J48" t="s">
        <v>1459</v>
      </c>
      <c r="K48" t="s">
        <v>1475</v>
      </c>
      <c r="L48">
        <v>20</v>
      </c>
    </row>
    <row r="49" spans="2:12" ht="12.75">
      <c r="B49" s="85"/>
      <c r="E49">
        <v>21</v>
      </c>
      <c r="F49" t="s">
        <v>1480</v>
      </c>
      <c r="G49" t="s">
        <v>1459</v>
      </c>
      <c r="H49" t="s">
        <v>1478</v>
      </c>
      <c r="I49" t="s">
        <v>1458</v>
      </c>
      <c r="J49" t="s">
        <v>1459</v>
      </c>
      <c r="K49" t="s">
        <v>1481</v>
      </c>
      <c r="L49">
        <v>22</v>
      </c>
    </row>
    <row r="50" spans="1:12" ht="12.75">
      <c r="A50" t="s">
        <v>64</v>
      </c>
      <c r="B50" s="85">
        <f>SUM(B38:B49)</f>
        <v>48640</v>
      </c>
      <c r="C50" t="s">
        <v>1445</v>
      </c>
      <c r="E50">
        <v>23</v>
      </c>
      <c r="F50" t="s">
        <v>1480</v>
      </c>
      <c r="G50" t="s">
        <v>1459</v>
      </c>
      <c r="H50" t="s">
        <v>1478</v>
      </c>
      <c r="I50" t="s">
        <v>1458</v>
      </c>
      <c r="J50" t="s">
        <v>1459</v>
      </c>
      <c r="K50" t="s">
        <v>1482</v>
      </c>
      <c r="L50">
        <v>24</v>
      </c>
    </row>
    <row r="51" spans="2:12" ht="12.75">
      <c r="B51" s="85"/>
      <c r="E51">
        <v>25</v>
      </c>
      <c r="F51" t="s">
        <v>1483</v>
      </c>
      <c r="G51" t="s">
        <v>1459</v>
      </c>
      <c r="H51" t="s">
        <v>1478</v>
      </c>
      <c r="I51" t="s">
        <v>1458</v>
      </c>
      <c r="J51" t="s">
        <v>1459</v>
      </c>
      <c r="K51" t="s">
        <v>1482</v>
      </c>
      <c r="L51">
        <v>26</v>
      </c>
    </row>
    <row r="52" spans="1:12" ht="12.75">
      <c r="A52" t="s">
        <v>1484</v>
      </c>
      <c r="B52" s="85">
        <v>10000</v>
      </c>
      <c r="C52" t="s">
        <v>1445</v>
      </c>
      <c r="E52">
        <v>27</v>
      </c>
      <c r="F52" t="s">
        <v>1483</v>
      </c>
      <c r="G52" t="s">
        <v>1459</v>
      </c>
      <c r="H52" t="s">
        <v>1478</v>
      </c>
      <c r="I52" t="s">
        <v>1458</v>
      </c>
      <c r="J52" t="s">
        <v>1459</v>
      </c>
      <c r="K52" t="s">
        <v>1482</v>
      </c>
      <c r="L52">
        <v>28</v>
      </c>
    </row>
    <row r="53" spans="1:12" ht="12.75">
      <c r="A53" t="s">
        <v>1485</v>
      </c>
      <c r="B53" s="85">
        <f>(B50-10000)*0.4</f>
        <v>15456</v>
      </c>
      <c r="C53" t="s">
        <v>1445</v>
      </c>
      <c r="E53">
        <v>29</v>
      </c>
      <c r="F53" t="s">
        <v>1486</v>
      </c>
      <c r="G53" t="s">
        <v>1459</v>
      </c>
      <c r="H53" t="s">
        <v>1458</v>
      </c>
      <c r="I53" t="s">
        <v>1458</v>
      </c>
      <c r="J53" t="s">
        <v>1459</v>
      </c>
      <c r="K53" t="s">
        <v>1482</v>
      </c>
      <c r="L53">
        <v>30</v>
      </c>
    </row>
    <row r="54" spans="1:12" ht="12.75">
      <c r="A54" t="s">
        <v>64</v>
      </c>
      <c r="B54" s="85">
        <f>SUM(B52:B53)</f>
        <v>25456</v>
      </c>
      <c r="C54" t="s">
        <v>1445</v>
      </c>
      <c r="E54">
        <v>31</v>
      </c>
      <c r="F54" t="s">
        <v>1486</v>
      </c>
      <c r="G54" t="s">
        <v>1459</v>
      </c>
      <c r="H54" t="s">
        <v>1458</v>
      </c>
      <c r="I54" t="s">
        <v>1458</v>
      </c>
      <c r="J54" t="s">
        <v>1459</v>
      </c>
      <c r="K54" t="s">
        <v>1482</v>
      </c>
      <c r="L54">
        <v>32</v>
      </c>
    </row>
    <row r="55" spans="1:12" ht="12.75">
      <c r="A55" t="s">
        <v>1487</v>
      </c>
      <c r="B55" s="85">
        <f>B54/240</f>
        <v>106.06666666666666</v>
      </c>
      <c r="C55" t="s">
        <v>1488</v>
      </c>
      <c r="E55">
        <v>33</v>
      </c>
      <c r="F55" t="s">
        <v>1489</v>
      </c>
      <c r="G55" t="s">
        <v>1459</v>
      </c>
      <c r="H55" t="s">
        <v>1458</v>
      </c>
      <c r="I55" t="s">
        <v>1458</v>
      </c>
      <c r="J55" t="s">
        <v>1459</v>
      </c>
      <c r="K55" t="s">
        <v>1482</v>
      </c>
      <c r="L55">
        <v>34</v>
      </c>
    </row>
    <row r="56" spans="1:12" ht="12.75">
      <c r="A56" t="s">
        <v>1490</v>
      </c>
      <c r="B56" s="85">
        <v>13</v>
      </c>
      <c r="C56" t="s">
        <v>1488</v>
      </c>
      <c r="E56">
        <v>35</v>
      </c>
      <c r="F56" t="s">
        <v>1456</v>
      </c>
      <c r="G56" t="s">
        <v>1455</v>
      </c>
      <c r="H56" t="s">
        <v>1454</v>
      </c>
      <c r="I56" t="s">
        <v>1458</v>
      </c>
      <c r="J56" t="s">
        <v>1459</v>
      </c>
      <c r="K56" t="s">
        <v>1482</v>
      </c>
      <c r="L56">
        <v>36</v>
      </c>
    </row>
    <row r="57" spans="1:12" ht="12.75">
      <c r="A57" t="s">
        <v>1491</v>
      </c>
      <c r="B57" s="85">
        <v>13</v>
      </c>
      <c r="C57" t="s">
        <v>1488</v>
      </c>
      <c r="E57">
        <v>37</v>
      </c>
      <c r="F57" t="s">
        <v>1456</v>
      </c>
      <c r="G57" t="s">
        <v>1455</v>
      </c>
      <c r="H57" t="s">
        <v>1454</v>
      </c>
      <c r="I57" t="s">
        <v>1458</v>
      </c>
      <c r="J57" t="s">
        <v>1459</v>
      </c>
      <c r="K57" t="s">
        <v>1482</v>
      </c>
      <c r="L57">
        <v>38</v>
      </c>
    </row>
    <row r="58" spans="1:12" ht="12.75">
      <c r="A58" t="s">
        <v>1492</v>
      </c>
      <c r="B58" s="85">
        <v>13</v>
      </c>
      <c r="C58" t="s">
        <v>1488</v>
      </c>
      <c r="E58">
        <v>39</v>
      </c>
      <c r="F58" t="s">
        <v>1456</v>
      </c>
      <c r="G58" t="s">
        <v>1455</v>
      </c>
      <c r="H58" t="s">
        <v>1454</v>
      </c>
      <c r="I58" t="s">
        <v>1458</v>
      </c>
      <c r="J58" t="s">
        <v>1459</v>
      </c>
      <c r="K58" t="s">
        <v>1493</v>
      </c>
      <c r="L58">
        <v>40</v>
      </c>
    </row>
    <row r="59" spans="1:12" ht="12.75">
      <c r="A59" t="s">
        <v>1494</v>
      </c>
      <c r="B59" s="85">
        <v>0.6000000000000001</v>
      </c>
      <c r="C59" t="s">
        <v>1488</v>
      </c>
      <c r="E59">
        <v>41</v>
      </c>
      <c r="F59" t="s">
        <v>1456</v>
      </c>
      <c r="G59" t="s">
        <v>1455</v>
      </c>
      <c r="H59" t="s">
        <v>1454</v>
      </c>
      <c r="I59" t="s">
        <v>1458</v>
      </c>
      <c r="J59" t="s">
        <v>1459</v>
      </c>
      <c r="K59" t="s">
        <v>1493</v>
      </c>
      <c r="L59">
        <v>42</v>
      </c>
    </row>
    <row r="60" spans="2:12" ht="12.75">
      <c r="B60" s="85"/>
      <c r="E60">
        <v>43</v>
      </c>
      <c r="F60" t="s">
        <v>1456</v>
      </c>
      <c r="G60" t="s">
        <v>1455</v>
      </c>
      <c r="H60" t="s">
        <v>1454</v>
      </c>
      <c r="I60" t="s">
        <v>242</v>
      </c>
      <c r="J60" t="s">
        <v>242</v>
      </c>
      <c r="K60" t="s">
        <v>242</v>
      </c>
      <c r="L60">
        <v>44</v>
      </c>
    </row>
    <row r="61" spans="1:3" ht="12.75">
      <c r="A61" t="s">
        <v>1495</v>
      </c>
      <c r="B61" s="85">
        <f>SUM(B55:B59)</f>
        <v>145.66666666666666</v>
      </c>
      <c r="C61" t="s">
        <v>1488</v>
      </c>
    </row>
    <row r="65" spans="1:12" ht="12.75">
      <c r="A65" s="291" t="s">
        <v>93</v>
      </c>
      <c r="B65" s="291"/>
      <c r="C65" s="291"/>
      <c r="D65" s="291"/>
      <c r="E65" s="291"/>
      <c r="F65" s="291"/>
      <c r="G65" s="291"/>
      <c r="H65" s="291"/>
      <c r="I65" s="291"/>
      <c r="J65" s="291"/>
      <c r="K65" s="291"/>
      <c r="L65" s="291"/>
    </row>
    <row r="66" spans="1:12" ht="12.75">
      <c r="A66" s="96" t="s">
        <v>1441</v>
      </c>
      <c r="B66" s="96"/>
      <c r="C66" s="96"/>
      <c r="E66" s="96" t="s">
        <v>1442</v>
      </c>
      <c r="F66" s="96"/>
      <c r="G66" s="96"/>
      <c r="H66" s="96"/>
      <c r="I66" s="96"/>
      <c r="J66" s="96"/>
      <c r="K66" s="96"/>
      <c r="L66" s="96"/>
    </row>
    <row r="67" spans="5:12" ht="12.75">
      <c r="E67" s="115" t="s">
        <v>1496</v>
      </c>
      <c r="F67" s="115"/>
      <c r="G67" s="115"/>
      <c r="H67" s="115"/>
      <c r="I67" s="115"/>
      <c r="J67" s="115"/>
      <c r="K67" s="115"/>
      <c r="L67" s="115"/>
    </row>
    <row r="68" spans="1:12" ht="12.75">
      <c r="A68" t="s">
        <v>1497</v>
      </c>
      <c r="B68" s="85">
        <f>1836*3</f>
        <v>5508</v>
      </c>
      <c r="C68" t="s">
        <v>1445</v>
      </c>
      <c r="E68" t="s">
        <v>1446</v>
      </c>
      <c r="F68" t="s">
        <v>1447</v>
      </c>
      <c r="G68" t="s">
        <v>1448</v>
      </c>
      <c r="H68" t="s">
        <v>1449</v>
      </c>
      <c r="I68" t="s">
        <v>1449</v>
      </c>
      <c r="J68" t="s">
        <v>1448</v>
      </c>
      <c r="K68" t="s">
        <v>1447</v>
      </c>
      <c r="L68" t="s">
        <v>1446</v>
      </c>
    </row>
    <row r="69" spans="1:12" ht="12.75">
      <c r="A69" t="s">
        <v>1498</v>
      </c>
      <c r="B69" s="85">
        <v>8000</v>
      </c>
      <c r="C69" t="s">
        <v>1445</v>
      </c>
      <c r="E69">
        <v>1</v>
      </c>
      <c r="F69" t="s">
        <v>1462</v>
      </c>
      <c r="G69" t="s">
        <v>1463</v>
      </c>
      <c r="H69" t="s">
        <v>1464</v>
      </c>
      <c r="I69" t="s">
        <v>1458</v>
      </c>
      <c r="J69" t="s">
        <v>1459</v>
      </c>
      <c r="K69" t="s">
        <v>1460</v>
      </c>
      <c r="L69">
        <v>2</v>
      </c>
    </row>
    <row r="70" spans="1:12" ht="12.75">
      <c r="A70" t="s">
        <v>1457</v>
      </c>
      <c r="B70" s="85">
        <v>5000</v>
      </c>
      <c r="C70" t="s">
        <v>1445</v>
      </c>
      <c r="E70">
        <v>3</v>
      </c>
      <c r="F70" t="s">
        <v>1462</v>
      </c>
      <c r="G70" t="s">
        <v>1463</v>
      </c>
      <c r="H70" t="s">
        <v>1464</v>
      </c>
      <c r="I70" t="s">
        <v>1458</v>
      </c>
      <c r="J70" t="s">
        <v>1459</v>
      </c>
      <c r="K70" t="s">
        <v>1499</v>
      </c>
      <c r="L70">
        <v>4</v>
      </c>
    </row>
    <row r="71" spans="1:12" ht="12.75">
      <c r="A71" s="68" t="s">
        <v>1500</v>
      </c>
      <c r="B71" s="292">
        <v>1500</v>
      </c>
      <c r="C71" s="68" t="s">
        <v>1445</v>
      </c>
      <c r="E71">
        <v>5</v>
      </c>
      <c r="F71" t="s">
        <v>1471</v>
      </c>
      <c r="G71" t="s">
        <v>1472</v>
      </c>
      <c r="H71" t="s">
        <v>1473</v>
      </c>
      <c r="I71" t="s">
        <v>1458</v>
      </c>
      <c r="J71" t="s">
        <v>1459</v>
      </c>
      <c r="K71" t="s">
        <v>1499</v>
      </c>
      <c r="L71">
        <v>6</v>
      </c>
    </row>
    <row r="72" spans="1:12" ht="12.75">
      <c r="A72" t="s">
        <v>1468</v>
      </c>
      <c r="B72" s="85">
        <v>1500</v>
      </c>
      <c r="C72" t="s">
        <v>1445</v>
      </c>
      <c r="E72">
        <v>7</v>
      </c>
      <c r="F72" t="s">
        <v>1471</v>
      </c>
      <c r="G72" t="s">
        <v>1472</v>
      </c>
      <c r="H72" t="s">
        <v>1473</v>
      </c>
      <c r="I72" t="s">
        <v>1458</v>
      </c>
      <c r="J72" t="s">
        <v>1459</v>
      </c>
      <c r="K72" t="s">
        <v>1481</v>
      </c>
      <c r="L72">
        <v>8</v>
      </c>
    </row>
    <row r="73" spans="1:12" ht="12.75">
      <c r="A73" t="s">
        <v>1470</v>
      </c>
      <c r="B73" s="85">
        <v>1500</v>
      </c>
      <c r="C73" t="s">
        <v>1445</v>
      </c>
      <c r="E73">
        <v>9</v>
      </c>
      <c r="F73" t="s">
        <v>1486</v>
      </c>
      <c r="G73" t="s">
        <v>1459</v>
      </c>
      <c r="H73" t="s">
        <v>1458</v>
      </c>
      <c r="I73" t="s">
        <v>1458</v>
      </c>
      <c r="J73" t="s">
        <v>1459</v>
      </c>
      <c r="K73" t="s">
        <v>1482</v>
      </c>
      <c r="L73">
        <v>10</v>
      </c>
    </row>
    <row r="74" spans="1:12" ht="12.75">
      <c r="A74" t="s">
        <v>1501</v>
      </c>
      <c r="B74" s="85">
        <v>3000</v>
      </c>
      <c r="C74" t="s">
        <v>1445</v>
      </c>
      <c r="E74">
        <v>11</v>
      </c>
      <c r="F74" t="s">
        <v>1456</v>
      </c>
      <c r="G74" t="s">
        <v>1455</v>
      </c>
      <c r="H74" t="s">
        <v>1454</v>
      </c>
      <c r="I74" t="s">
        <v>1458</v>
      </c>
      <c r="J74" t="s">
        <v>1459</v>
      </c>
      <c r="K74" t="s">
        <v>1482</v>
      </c>
      <c r="L74">
        <v>12</v>
      </c>
    </row>
    <row r="75" spans="1:12" ht="12.75">
      <c r="A75" t="s">
        <v>1476</v>
      </c>
      <c r="B75" s="85">
        <v>1500</v>
      </c>
      <c r="C75" t="s">
        <v>1445</v>
      </c>
      <c r="E75">
        <v>13</v>
      </c>
      <c r="F75" t="s">
        <v>1456</v>
      </c>
      <c r="G75" t="s">
        <v>1455</v>
      </c>
      <c r="H75" t="s">
        <v>1454</v>
      </c>
      <c r="I75" t="s">
        <v>1458</v>
      </c>
      <c r="J75" t="s">
        <v>1463</v>
      </c>
      <c r="K75" t="s">
        <v>1502</v>
      </c>
      <c r="L75">
        <v>14</v>
      </c>
    </row>
    <row r="76" spans="1:12" ht="12.75">
      <c r="A76" t="s">
        <v>1479</v>
      </c>
      <c r="B76" s="85">
        <v>2250</v>
      </c>
      <c r="C76" t="s">
        <v>1445</v>
      </c>
      <c r="E76">
        <v>15</v>
      </c>
      <c r="F76" t="s">
        <v>1502</v>
      </c>
      <c r="G76" t="s">
        <v>1463</v>
      </c>
      <c r="H76" t="s">
        <v>1464</v>
      </c>
      <c r="I76" t="s">
        <v>1464</v>
      </c>
      <c r="J76" t="s">
        <v>1463</v>
      </c>
      <c r="K76" t="s">
        <v>1502</v>
      </c>
      <c r="L76">
        <v>16</v>
      </c>
    </row>
    <row r="77" spans="1:12" ht="12.75">
      <c r="A77" t="s">
        <v>1503</v>
      </c>
      <c r="B77" s="85">
        <f>220*50*5</f>
        <v>55000</v>
      </c>
      <c r="C77" t="s">
        <v>1445</v>
      </c>
      <c r="E77">
        <v>17</v>
      </c>
      <c r="F77" t="s">
        <v>1502</v>
      </c>
      <c r="G77" t="s">
        <v>1463</v>
      </c>
      <c r="H77" t="s">
        <v>1464</v>
      </c>
      <c r="I77" t="s">
        <v>1464</v>
      </c>
      <c r="J77" t="s">
        <v>1463</v>
      </c>
      <c r="K77" t="s">
        <v>1502</v>
      </c>
      <c r="L77">
        <v>18</v>
      </c>
    </row>
    <row r="78" spans="5:12" ht="12.75">
      <c r="E78">
        <v>19</v>
      </c>
      <c r="F78" t="s">
        <v>1504</v>
      </c>
      <c r="G78" t="s">
        <v>1459</v>
      </c>
      <c r="H78" t="s">
        <v>1458</v>
      </c>
      <c r="I78" t="s">
        <v>1464</v>
      </c>
      <c r="J78" t="s">
        <v>1455</v>
      </c>
      <c r="K78" t="s">
        <v>1504</v>
      </c>
      <c r="L78">
        <v>20</v>
      </c>
    </row>
    <row r="79" spans="1:12" ht="12.75">
      <c r="A79" t="s">
        <v>64</v>
      </c>
      <c r="B79" s="85">
        <f>SUM(B68:B78)</f>
        <v>84758</v>
      </c>
      <c r="C79" t="s">
        <v>1445</v>
      </c>
      <c r="E79">
        <v>21</v>
      </c>
      <c r="F79" t="s">
        <v>1504</v>
      </c>
      <c r="G79" t="s">
        <v>1455</v>
      </c>
      <c r="H79" t="s">
        <v>1454</v>
      </c>
      <c r="I79" t="s">
        <v>1454</v>
      </c>
      <c r="J79" t="s">
        <v>1455</v>
      </c>
      <c r="K79" t="s">
        <v>1504</v>
      </c>
      <c r="L79">
        <v>22</v>
      </c>
    </row>
    <row r="80" spans="5:12" ht="12.75">
      <c r="E80">
        <v>23</v>
      </c>
      <c r="F80" t="s">
        <v>1505</v>
      </c>
      <c r="G80" t="s">
        <v>1455</v>
      </c>
      <c r="H80" t="s">
        <v>1454</v>
      </c>
      <c r="I80" t="s">
        <v>1454</v>
      </c>
      <c r="J80" t="s">
        <v>1455</v>
      </c>
      <c r="K80" t="s">
        <v>1505</v>
      </c>
      <c r="L80">
        <v>24</v>
      </c>
    </row>
    <row r="81" spans="1:12" ht="12.75">
      <c r="A81" t="s">
        <v>1484</v>
      </c>
      <c r="B81" s="85">
        <v>10000</v>
      </c>
      <c r="C81" t="s">
        <v>1445</v>
      </c>
      <c r="E81">
        <v>25</v>
      </c>
      <c r="F81" t="s">
        <v>1506</v>
      </c>
      <c r="G81" t="s">
        <v>1455</v>
      </c>
      <c r="H81" t="s">
        <v>1454</v>
      </c>
      <c r="I81" t="s">
        <v>242</v>
      </c>
      <c r="J81" t="s">
        <v>242</v>
      </c>
      <c r="K81" t="s">
        <v>242</v>
      </c>
      <c r="L81">
        <v>26</v>
      </c>
    </row>
    <row r="82" spans="1:3" ht="12.75">
      <c r="A82" t="s">
        <v>1485</v>
      </c>
      <c r="B82" s="85">
        <f>(B79-10000)*0.4</f>
        <v>29903.2</v>
      </c>
      <c r="C82" t="s">
        <v>1445</v>
      </c>
    </row>
    <row r="83" spans="1:3" ht="12.75">
      <c r="A83" t="s">
        <v>64</v>
      </c>
      <c r="B83" s="85">
        <f>SUM(B81:B82)</f>
        <v>39903.2</v>
      </c>
      <c r="C83" t="s">
        <v>1445</v>
      </c>
    </row>
    <row r="84" spans="1:3" ht="12.75">
      <c r="A84" t="s">
        <v>1507</v>
      </c>
      <c r="B84" s="85">
        <f>B83/240</f>
        <v>166.26333333333332</v>
      </c>
      <c r="C84" t="s">
        <v>1488</v>
      </c>
    </row>
    <row r="85" spans="1:3" ht="12.75">
      <c r="A85" t="s">
        <v>1508</v>
      </c>
      <c r="B85" s="85">
        <v>15</v>
      </c>
      <c r="C85" t="s">
        <v>1488</v>
      </c>
    </row>
    <row r="86" spans="1:3" ht="12.75">
      <c r="A86" t="s">
        <v>1509</v>
      </c>
      <c r="B86">
        <v>15</v>
      </c>
      <c r="C86" t="s">
        <v>1488</v>
      </c>
    </row>
    <row r="88" spans="1:3" ht="12.75">
      <c r="A88" t="s">
        <v>1495</v>
      </c>
      <c r="B88" s="85">
        <f>SUM(B84:B87)</f>
        <v>196.26333333333332</v>
      </c>
      <c r="C88" t="s">
        <v>1488</v>
      </c>
    </row>
  </sheetData>
  <sheetProtection selectLockedCells="1" selectUnlockedCells="1"/>
  <mergeCells count="10">
    <mergeCell ref="B3:G3"/>
    <mergeCell ref="L3:Q3"/>
    <mergeCell ref="A34:L34"/>
    <mergeCell ref="A36:C36"/>
    <mergeCell ref="E36:L36"/>
    <mergeCell ref="E37:L37"/>
    <mergeCell ref="A65:L65"/>
    <mergeCell ref="A66:C66"/>
    <mergeCell ref="E66:L66"/>
    <mergeCell ref="E67:L67"/>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dimension ref="B3:J20"/>
  <sheetViews>
    <sheetView zoomScale="90" zoomScaleNormal="90" workbookViewId="0" topLeftCell="A1">
      <selection activeCell="D24" sqref="D24"/>
    </sheetView>
  </sheetViews>
  <sheetFormatPr defaultColWidth="12.57421875" defaultRowHeight="12.75"/>
  <cols>
    <col min="1" max="1" width="11.57421875" style="0" customWidth="1"/>
    <col min="2" max="2" width="16.421875" style="0" customWidth="1"/>
    <col min="3" max="16384" width="11.57421875" style="0" customWidth="1"/>
  </cols>
  <sheetData>
    <row r="3" spans="2:10" ht="12.75" customHeight="1">
      <c r="B3" s="98" t="s">
        <v>38</v>
      </c>
      <c r="C3" s="98"/>
      <c r="D3" s="98"/>
      <c r="E3" s="98"/>
      <c r="F3" s="98"/>
      <c r="G3" s="98"/>
      <c r="I3" s="111" t="s">
        <v>533</v>
      </c>
      <c r="J3" s="112" t="s">
        <v>534</v>
      </c>
    </row>
    <row r="4" spans="2:10" ht="12.75">
      <c r="B4" s="125" t="s">
        <v>606</v>
      </c>
      <c r="C4" s="126"/>
      <c r="D4" s="126"/>
      <c r="E4" s="115"/>
      <c r="F4" s="126"/>
      <c r="G4" s="152" t="s">
        <v>6</v>
      </c>
      <c r="I4" s="42" t="str">
        <f>B3</f>
        <v>Fire Sprinklers</v>
      </c>
      <c r="J4" s="56">
        <f>G10</f>
        <v>0</v>
      </c>
    </row>
    <row r="5" spans="2:10" ht="12.75">
      <c r="B5" s="36" t="s">
        <v>1510</v>
      </c>
      <c r="C5" s="115"/>
      <c r="D5" s="72"/>
      <c r="E5" s="115"/>
      <c r="F5" s="72"/>
      <c r="G5" s="118">
        <v>10330</v>
      </c>
      <c r="I5" s="42"/>
      <c r="J5" s="113"/>
    </row>
    <row r="6" spans="2:10" ht="12.75">
      <c r="B6" s="114"/>
      <c r="C6" s="115"/>
      <c r="D6" s="72"/>
      <c r="E6" s="115"/>
      <c r="F6" s="72"/>
      <c r="G6" s="118"/>
      <c r="I6" s="42"/>
      <c r="J6" s="113"/>
    </row>
    <row r="7" spans="2:10" ht="12.75">
      <c r="B7" s="114"/>
      <c r="C7" s="115"/>
      <c r="D7" s="115"/>
      <c r="E7" s="115"/>
      <c r="F7" s="72"/>
      <c r="G7" s="118"/>
      <c r="I7" s="123" t="s">
        <v>6</v>
      </c>
      <c r="J7" s="124">
        <f>SUM(J4:J6)</f>
        <v>0</v>
      </c>
    </row>
    <row r="8" spans="2:7" ht="12.75">
      <c r="B8" s="114"/>
      <c r="C8" s="115"/>
      <c r="D8" s="72"/>
      <c r="E8" s="115"/>
      <c r="F8" s="72"/>
      <c r="G8" s="118"/>
    </row>
    <row r="9" spans="2:7" ht="12.75">
      <c r="B9" s="293" t="s">
        <v>1511</v>
      </c>
      <c r="C9" s="294"/>
      <c r="D9" s="295"/>
      <c r="E9" s="294"/>
      <c r="F9" s="295"/>
      <c r="G9" s="296">
        <f>-G5</f>
        <v>-10330</v>
      </c>
    </row>
    <row r="10" spans="2:7" ht="12.75">
      <c r="B10" s="175" t="s">
        <v>6</v>
      </c>
      <c r="C10" s="176"/>
      <c r="D10" s="176"/>
      <c r="E10" s="176"/>
      <c r="F10" s="176"/>
      <c r="G10" s="177">
        <f>SUM(G5:G9)</f>
        <v>0</v>
      </c>
    </row>
    <row r="17" ht="12.75">
      <c r="B17" s="297" t="s">
        <v>1512</v>
      </c>
    </row>
    <row r="18" ht="12.75">
      <c r="B18" t="s">
        <v>1513</v>
      </c>
    </row>
    <row r="19" ht="12.75">
      <c r="B19" t="s">
        <v>1514</v>
      </c>
    </row>
    <row r="20" ht="12.75">
      <c r="B20" t="s">
        <v>1515</v>
      </c>
    </row>
  </sheetData>
  <sheetProtection selectLockedCells="1" selectUnlockedCells="1"/>
  <mergeCells count="1">
    <mergeCell ref="B3:G3"/>
  </mergeCells>
  <hyperlinks>
    <hyperlink ref="B17" r:id="rId1" display="https://www.darley.com/starterpaq"/>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dimension ref="A1:T315"/>
  <sheetViews>
    <sheetView zoomScale="90" zoomScaleNormal="90" workbookViewId="0" topLeftCell="A262">
      <selection activeCell="K310" sqref="K310"/>
    </sheetView>
  </sheetViews>
  <sheetFormatPr defaultColWidth="12.57421875" defaultRowHeight="12.75"/>
  <cols>
    <col min="1" max="1" width="19.421875" style="0" customWidth="1"/>
    <col min="2" max="5" width="11.57421875" style="0" customWidth="1"/>
    <col min="6" max="6" width="4.8515625" style="0" customWidth="1"/>
    <col min="7" max="10" width="11.57421875" style="0" customWidth="1"/>
    <col min="11" max="11" width="4.421875" style="0" customWidth="1"/>
    <col min="12" max="15" width="11.57421875" style="0" customWidth="1"/>
    <col min="16" max="16" width="5.00390625" style="0" customWidth="1"/>
    <col min="17" max="16384" width="11.57421875" style="0" customWidth="1"/>
  </cols>
  <sheetData>
    <row r="1" spans="1:20" ht="12.75" customHeight="1">
      <c r="A1" s="183"/>
      <c r="B1" s="183"/>
      <c r="C1" s="183"/>
      <c r="D1" s="183"/>
      <c r="E1" s="183"/>
      <c r="F1" s="183"/>
      <c r="G1" s="183"/>
      <c r="H1" s="183"/>
      <c r="I1" s="183"/>
      <c r="J1" s="183"/>
      <c r="K1" s="183"/>
      <c r="L1" s="183"/>
      <c r="M1" s="183"/>
      <c r="N1" s="183"/>
      <c r="O1" s="183"/>
      <c r="P1" s="183"/>
      <c r="Q1" s="183"/>
      <c r="R1" s="183"/>
      <c r="S1" s="183"/>
      <c r="T1" s="183"/>
    </row>
    <row r="2" spans="1:20" ht="12.75" customHeight="1">
      <c r="A2" s="52" t="s">
        <v>1516</v>
      </c>
      <c r="B2" s="52"/>
      <c r="C2" s="52"/>
      <c r="D2" s="52"/>
      <c r="E2" s="52"/>
      <c r="F2" s="52"/>
      <c r="G2" s="52"/>
      <c r="H2" s="52"/>
      <c r="I2" s="52"/>
      <c r="J2" s="52"/>
      <c r="K2" s="52"/>
      <c r="L2" s="52"/>
      <c r="M2" s="52"/>
      <c r="N2" s="52"/>
      <c r="O2" s="52"/>
      <c r="P2" s="52"/>
      <c r="Q2" s="52"/>
      <c r="R2" s="52"/>
      <c r="S2" s="52"/>
      <c r="T2" s="52"/>
    </row>
    <row r="3" spans="1:20" ht="12.75" customHeight="1">
      <c r="A3" s="59"/>
      <c r="B3" s="183"/>
      <c r="C3" s="183"/>
      <c r="D3" s="183"/>
      <c r="E3" s="183"/>
      <c r="F3" s="183"/>
      <c r="G3" s="183"/>
      <c r="H3" s="183"/>
      <c r="I3" s="183" t="s">
        <v>18</v>
      </c>
      <c r="J3" s="183" t="s">
        <v>1517</v>
      </c>
      <c r="K3" s="183"/>
      <c r="L3" s="183"/>
      <c r="M3" s="183"/>
      <c r="N3" s="183"/>
      <c r="O3" s="183"/>
      <c r="P3" s="183"/>
      <c r="Q3" s="183"/>
      <c r="R3" s="183"/>
      <c r="S3" s="183"/>
      <c r="T3" s="298"/>
    </row>
    <row r="4" spans="1:20" ht="11.25" customHeight="1">
      <c r="A4" s="299" t="s">
        <v>1518</v>
      </c>
      <c r="B4" s="299"/>
      <c r="C4" s="183"/>
      <c r="D4" s="183"/>
      <c r="E4" s="183"/>
      <c r="F4" s="183"/>
      <c r="G4" s="300" t="s">
        <v>1519</v>
      </c>
      <c r="H4" s="300"/>
      <c r="I4" s="301">
        <v>0.17</v>
      </c>
      <c r="J4" s="301">
        <v>0.17</v>
      </c>
      <c r="K4" s="302" t="s">
        <v>1520</v>
      </c>
      <c r="L4" s="183"/>
      <c r="M4" s="183"/>
      <c r="N4" s="183"/>
      <c r="O4" s="183"/>
      <c r="P4" s="183"/>
      <c r="Q4" s="183"/>
      <c r="R4" s="183"/>
      <c r="S4" s="183"/>
      <c r="T4" s="298"/>
    </row>
    <row r="5" spans="1:20" ht="13.5" customHeight="1">
      <c r="A5" s="299"/>
      <c r="B5" s="299"/>
      <c r="C5" s="115" t="s">
        <v>1521</v>
      </c>
      <c r="D5" s="115" t="s">
        <v>1522</v>
      </c>
      <c r="E5" s="115">
        <f>22.5*96</f>
        <v>2160</v>
      </c>
      <c r="F5" s="183"/>
      <c r="G5" s="303" t="s">
        <v>1523</v>
      </c>
      <c r="H5" s="303"/>
      <c r="I5" s="301">
        <v>0.34</v>
      </c>
      <c r="J5" s="301">
        <v>0.8</v>
      </c>
      <c r="K5" s="302" t="s">
        <v>1520</v>
      </c>
      <c r="L5" s="183"/>
      <c r="M5" s="183"/>
      <c r="N5" s="183"/>
      <c r="O5" s="183"/>
      <c r="P5" s="183"/>
      <c r="Q5" s="183"/>
      <c r="R5" s="183"/>
      <c r="S5" s="183"/>
      <c r="T5" s="298"/>
    </row>
    <row r="6" spans="1:20" ht="12.75" customHeight="1">
      <c r="A6" s="299"/>
      <c r="B6" s="299"/>
      <c r="C6" s="115" t="s">
        <v>1524</v>
      </c>
      <c r="D6" s="115" t="s">
        <v>1525</v>
      </c>
      <c r="E6" s="115">
        <f>2*24*2</f>
        <v>96</v>
      </c>
      <c r="F6" s="183"/>
      <c r="G6" s="303" t="s">
        <v>1526</v>
      </c>
      <c r="H6" s="303"/>
      <c r="I6" s="301">
        <v>0.63</v>
      </c>
      <c r="J6" s="301">
        <v>0.63</v>
      </c>
      <c r="K6" s="302" t="s">
        <v>1520</v>
      </c>
      <c r="L6" s="183"/>
      <c r="M6" s="183"/>
      <c r="N6" s="183"/>
      <c r="O6" s="183"/>
      <c r="P6" s="183"/>
      <c r="Q6" s="183"/>
      <c r="R6" s="183"/>
      <c r="S6" s="183"/>
      <c r="T6" s="298"/>
    </row>
    <row r="7" spans="1:20" ht="12.75" customHeight="1">
      <c r="A7" s="299"/>
      <c r="B7" s="299"/>
      <c r="C7" s="115" t="s">
        <v>1527</v>
      </c>
      <c r="D7" s="115" t="s">
        <v>1528</v>
      </c>
      <c r="E7" s="115">
        <f>1*120</f>
        <v>120</v>
      </c>
      <c r="F7" s="183"/>
      <c r="G7" s="303" t="s">
        <v>1529</v>
      </c>
      <c r="H7" s="303"/>
      <c r="I7" s="302" t="s">
        <v>1520</v>
      </c>
      <c r="J7" s="301">
        <f>3.8*10</f>
        <v>38</v>
      </c>
      <c r="K7" s="302" t="s">
        <v>1520</v>
      </c>
      <c r="L7" s="183"/>
      <c r="M7" s="183"/>
      <c r="N7" s="183"/>
      <c r="O7" s="183"/>
      <c r="P7" s="183"/>
      <c r="Q7" s="183"/>
      <c r="R7" s="183"/>
      <c r="S7" s="183"/>
      <c r="T7" s="298"/>
    </row>
    <row r="8" spans="1:20" ht="12.75" customHeight="1">
      <c r="A8" s="299"/>
      <c r="B8" s="299"/>
      <c r="C8" s="115" t="s">
        <v>1530</v>
      </c>
      <c r="D8" s="115"/>
      <c r="E8" s="304">
        <f>(E6+E7)/E5</f>
        <v>0.1</v>
      </c>
      <c r="F8" s="183"/>
      <c r="G8" s="305" t="s">
        <v>1531</v>
      </c>
      <c r="H8" s="305"/>
      <c r="I8" s="302">
        <f>1.25*10</f>
        <v>12.5</v>
      </c>
      <c r="J8" s="302" t="s">
        <v>1520</v>
      </c>
      <c r="K8" s="302" t="s">
        <v>1520</v>
      </c>
      <c r="L8" s="183"/>
      <c r="M8" s="183"/>
      <c r="N8" s="183"/>
      <c r="O8" s="183"/>
      <c r="P8" s="183"/>
      <c r="Q8" s="183"/>
      <c r="R8" s="183"/>
      <c r="S8" s="183"/>
      <c r="T8" s="298"/>
    </row>
    <row r="9" spans="1:20" ht="12.75" customHeight="1">
      <c r="A9" s="299"/>
      <c r="B9" s="299"/>
      <c r="C9" s="115"/>
      <c r="D9" s="115"/>
      <c r="E9" s="115"/>
      <c r="F9" s="183"/>
      <c r="G9" s="303" t="s">
        <v>1532</v>
      </c>
      <c r="H9" s="303"/>
      <c r="I9" s="301">
        <v>0.45</v>
      </c>
      <c r="J9" s="301">
        <v>0.45</v>
      </c>
      <c r="K9" s="302" t="s">
        <v>1520</v>
      </c>
      <c r="L9" s="183"/>
      <c r="M9" s="183"/>
      <c r="N9" s="183"/>
      <c r="O9" s="183"/>
      <c r="P9" s="183"/>
      <c r="Q9" s="183"/>
      <c r="R9" s="183"/>
      <c r="S9" s="183"/>
      <c r="T9" s="298"/>
    </row>
    <row r="10" spans="1:20" ht="12.75" customHeight="1">
      <c r="A10" s="299"/>
      <c r="B10" s="299"/>
      <c r="C10" s="115"/>
      <c r="D10" s="115"/>
      <c r="F10" s="183"/>
      <c r="G10" s="303" t="s">
        <v>1533</v>
      </c>
      <c r="H10" s="303"/>
      <c r="I10" s="301">
        <v>0.68</v>
      </c>
      <c r="J10" s="301">
        <v>0.68</v>
      </c>
      <c r="K10" s="302" t="s">
        <v>1520</v>
      </c>
      <c r="L10" s="183"/>
      <c r="M10" s="183"/>
      <c r="N10" s="183"/>
      <c r="O10" s="183"/>
      <c r="P10" s="183"/>
      <c r="Q10" s="183"/>
      <c r="R10" s="183"/>
      <c r="S10" s="183"/>
      <c r="T10" s="298"/>
    </row>
    <row r="11" spans="1:20" ht="12.75" customHeight="1">
      <c r="A11" s="299"/>
      <c r="B11" s="299"/>
      <c r="C11" s="115"/>
      <c r="D11" s="115"/>
      <c r="E11" s="115"/>
      <c r="F11" s="183"/>
      <c r="G11" s="305" t="s">
        <v>1534</v>
      </c>
      <c r="H11" s="305"/>
      <c r="I11" s="306">
        <f>E8</f>
        <v>0.1</v>
      </c>
      <c r="J11" s="306">
        <f>1-I11</f>
        <v>0.9</v>
      </c>
      <c r="K11" s="302" t="s">
        <v>1520</v>
      </c>
      <c r="L11" s="183"/>
      <c r="M11" s="183"/>
      <c r="N11" s="183"/>
      <c r="O11" s="183"/>
      <c r="P11" s="183"/>
      <c r="Q11" s="183"/>
      <c r="R11" s="183"/>
      <c r="S11" s="183"/>
      <c r="T11" s="298"/>
    </row>
    <row r="12" spans="1:20" ht="12.75" customHeight="1">
      <c r="A12" s="299"/>
      <c r="B12" s="299"/>
      <c r="C12" s="183"/>
      <c r="D12" s="183"/>
      <c r="E12" s="183"/>
      <c r="F12" s="183"/>
      <c r="G12" s="307" t="s">
        <v>1535</v>
      </c>
      <c r="H12" s="307"/>
      <c r="I12" s="308">
        <f>SUM(I4:I11)</f>
        <v>14.87</v>
      </c>
      <c r="J12" s="308">
        <f>SUM(J4:J10)</f>
        <v>40.730000000000004</v>
      </c>
      <c r="K12" s="309" t="s">
        <v>1520</v>
      </c>
      <c r="L12" s="146"/>
      <c r="M12" s="183"/>
      <c r="N12" s="183"/>
      <c r="O12" s="183"/>
      <c r="P12" s="183"/>
      <c r="Q12" s="183"/>
      <c r="R12" s="183"/>
      <c r="S12" s="183"/>
      <c r="T12" s="298"/>
    </row>
    <row r="13" spans="1:20" ht="12.75" customHeight="1">
      <c r="A13" s="59"/>
      <c r="B13" s="183"/>
      <c r="C13" s="183"/>
      <c r="D13" s="183"/>
      <c r="E13" s="183"/>
      <c r="F13" s="183"/>
      <c r="G13" s="307" t="s">
        <v>1536</v>
      </c>
      <c r="H13" s="307"/>
      <c r="I13" s="308">
        <f>1/I12</f>
        <v>0.06724949562878278</v>
      </c>
      <c r="J13" s="308">
        <f>1/J12</f>
        <v>0.02455192732629511</v>
      </c>
      <c r="K13" s="309" t="s">
        <v>1520</v>
      </c>
      <c r="L13" s="146"/>
      <c r="M13" s="183"/>
      <c r="N13" s="183"/>
      <c r="O13" s="183"/>
      <c r="P13" s="183"/>
      <c r="Q13" s="183"/>
      <c r="R13" s="183"/>
      <c r="S13" s="183"/>
      <c r="T13" s="298"/>
    </row>
    <row r="14" spans="1:20" ht="12.75" customHeight="1">
      <c r="A14" s="59"/>
      <c r="B14" s="183"/>
      <c r="C14" s="183"/>
      <c r="D14" s="183"/>
      <c r="E14" s="183"/>
      <c r="F14" s="183"/>
      <c r="G14" s="307" t="s">
        <v>1537</v>
      </c>
      <c r="H14" s="307"/>
      <c r="I14" s="307">
        <f>1/I15</f>
        <v>34.69609876260312</v>
      </c>
      <c r="J14" s="307"/>
      <c r="K14" s="309"/>
      <c r="L14" s="146"/>
      <c r="M14" s="183"/>
      <c r="N14" s="183"/>
      <c r="O14" s="183"/>
      <c r="P14" s="183"/>
      <c r="Q14" s="183"/>
      <c r="R14" s="183"/>
      <c r="S14" s="183"/>
      <c r="T14" s="298"/>
    </row>
    <row r="15" spans="1:20" ht="12.75" customHeight="1">
      <c r="A15" s="59"/>
      <c r="B15" s="183"/>
      <c r="C15" s="183"/>
      <c r="D15" s="183"/>
      <c r="E15" s="183"/>
      <c r="F15" s="183"/>
      <c r="G15" s="307" t="s">
        <v>1538</v>
      </c>
      <c r="H15" s="307"/>
      <c r="I15" s="310">
        <f>(I13*I11+J13*J11)</f>
        <v>0.02882168415654388</v>
      </c>
      <c r="J15" s="310"/>
      <c r="K15" s="309"/>
      <c r="L15" s="146"/>
      <c r="M15" s="183"/>
      <c r="N15" s="183"/>
      <c r="O15" s="183"/>
      <c r="P15" s="183"/>
      <c r="Q15" s="183"/>
      <c r="R15" s="183"/>
      <c r="S15" s="183"/>
      <c r="T15" s="298"/>
    </row>
    <row r="16" spans="1:20" ht="12.75" customHeight="1">
      <c r="A16" s="59"/>
      <c r="B16" s="183"/>
      <c r="C16" s="183"/>
      <c r="D16" s="183"/>
      <c r="E16" s="183"/>
      <c r="F16" s="183"/>
      <c r="G16" s="308"/>
      <c r="H16" s="311"/>
      <c r="I16" s="309"/>
      <c r="J16" s="309"/>
      <c r="K16" s="309"/>
      <c r="L16" s="146"/>
      <c r="M16" s="183"/>
      <c r="N16" s="183"/>
      <c r="O16" s="183"/>
      <c r="P16" s="183"/>
      <c r="Q16" s="183"/>
      <c r="R16" s="183"/>
      <c r="S16" s="183"/>
      <c r="T16" s="298"/>
    </row>
    <row r="17" spans="1:20" ht="12.75" customHeight="1">
      <c r="A17" s="274"/>
      <c r="B17" s="275"/>
      <c r="C17" s="275"/>
      <c r="D17" s="275"/>
      <c r="E17" s="275"/>
      <c r="F17" s="275"/>
      <c r="G17" s="312"/>
      <c r="H17" s="313"/>
      <c r="I17" s="314"/>
      <c r="J17" s="314"/>
      <c r="K17" s="314"/>
      <c r="L17" s="315"/>
      <c r="M17" s="275"/>
      <c r="N17" s="275"/>
      <c r="O17" s="275"/>
      <c r="P17" s="275"/>
      <c r="Q17" s="275"/>
      <c r="R17" s="275"/>
      <c r="S17" s="275"/>
      <c r="T17" s="316"/>
    </row>
    <row r="18" ht="12.75" customHeight="1"/>
    <row r="19" ht="12.75" customHeight="1"/>
    <row r="20" spans="1:20" ht="12.75" customHeight="1">
      <c r="A20" s="52" t="s">
        <v>1539</v>
      </c>
      <c r="B20" s="52"/>
      <c r="C20" s="52"/>
      <c r="D20" s="52"/>
      <c r="E20" s="52"/>
      <c r="F20" s="52"/>
      <c r="G20" s="52"/>
      <c r="H20" s="52"/>
      <c r="I20" s="52"/>
      <c r="J20" s="52"/>
      <c r="K20" s="52"/>
      <c r="L20" s="52"/>
      <c r="M20" s="52"/>
      <c r="N20" s="52"/>
      <c r="O20" s="52"/>
      <c r="P20" s="52"/>
      <c r="Q20" s="52"/>
      <c r="R20" s="52"/>
      <c r="S20" s="52"/>
      <c r="T20" s="52"/>
    </row>
    <row r="21" spans="1:20" ht="12.75" customHeight="1">
      <c r="A21" s="59"/>
      <c r="B21" s="183"/>
      <c r="C21" s="183"/>
      <c r="D21" s="183"/>
      <c r="E21" s="183"/>
      <c r="F21" s="183"/>
      <c r="G21" s="183"/>
      <c r="H21" s="183"/>
      <c r="I21" s="183" t="s">
        <v>18</v>
      </c>
      <c r="J21" s="183" t="s">
        <v>1517</v>
      </c>
      <c r="K21" s="183"/>
      <c r="L21" s="183"/>
      <c r="M21" s="183"/>
      <c r="N21" s="183"/>
      <c r="O21" s="183"/>
      <c r="P21" s="183"/>
      <c r="Q21" s="183"/>
      <c r="R21" s="183"/>
      <c r="S21" s="183"/>
      <c r="T21" s="298"/>
    </row>
    <row r="22" spans="1:20" ht="12.75" customHeight="1">
      <c r="A22" s="299" t="s">
        <v>1540</v>
      </c>
      <c r="B22" s="299"/>
      <c r="C22" s="183"/>
      <c r="D22" s="183"/>
      <c r="E22" s="183"/>
      <c r="F22" s="183"/>
      <c r="G22" s="300" t="s">
        <v>1519</v>
      </c>
      <c r="H22" s="300"/>
      <c r="I22" s="301">
        <v>0.17</v>
      </c>
      <c r="J22" s="301">
        <v>0.17</v>
      </c>
      <c r="K22" s="302" t="s">
        <v>1520</v>
      </c>
      <c r="L22" s="183"/>
      <c r="M22" s="183"/>
      <c r="N22" s="183"/>
      <c r="O22" s="183"/>
      <c r="P22" s="183"/>
      <c r="Q22" s="183"/>
      <c r="R22" s="183"/>
      <c r="S22" s="183"/>
      <c r="T22" s="298"/>
    </row>
    <row r="23" spans="1:20" ht="12.75" customHeight="1">
      <c r="A23" s="299"/>
      <c r="B23" s="299"/>
      <c r="C23" s="115" t="s">
        <v>1521</v>
      </c>
      <c r="D23" s="115" t="s">
        <v>1541</v>
      </c>
      <c r="E23" s="115">
        <f>22.5*(24*12)</f>
        <v>6480</v>
      </c>
      <c r="F23" s="183"/>
      <c r="G23" s="303" t="s">
        <v>1542</v>
      </c>
      <c r="H23" s="303"/>
      <c r="K23" s="302" t="s">
        <v>1520</v>
      </c>
      <c r="L23" s="183"/>
      <c r="M23" s="183"/>
      <c r="N23" s="183"/>
      <c r="O23" s="183"/>
      <c r="P23" s="183"/>
      <c r="Q23" s="183"/>
      <c r="R23" s="183"/>
      <c r="S23" s="183"/>
      <c r="T23" s="298"/>
    </row>
    <row r="24" spans="1:20" ht="12.75" customHeight="1">
      <c r="A24" s="299"/>
      <c r="B24" s="299"/>
      <c r="C24" s="115" t="s">
        <v>1524</v>
      </c>
      <c r="D24" s="115" t="s">
        <v>1525</v>
      </c>
      <c r="E24" s="115">
        <f>2*24*2</f>
        <v>96</v>
      </c>
      <c r="F24" s="183"/>
      <c r="G24" s="303" t="s">
        <v>1526</v>
      </c>
      <c r="H24" s="303"/>
      <c r="I24" s="301">
        <v>0.63</v>
      </c>
      <c r="J24" s="301">
        <v>0.63</v>
      </c>
      <c r="K24" s="302" t="s">
        <v>1520</v>
      </c>
      <c r="L24" s="183"/>
      <c r="M24" s="183"/>
      <c r="N24" s="183"/>
      <c r="O24" s="183"/>
      <c r="P24" s="183"/>
      <c r="Q24" s="183"/>
      <c r="R24" s="183"/>
      <c r="S24" s="183"/>
      <c r="T24" s="298"/>
    </row>
    <row r="25" spans="1:20" ht="12.75" customHeight="1">
      <c r="A25" s="299"/>
      <c r="B25" s="299"/>
      <c r="F25" s="183"/>
      <c r="G25" s="303" t="s">
        <v>1543</v>
      </c>
      <c r="H25" s="303"/>
      <c r="I25" s="302" t="s">
        <v>1520</v>
      </c>
      <c r="J25" s="301">
        <f>3.8*10</f>
        <v>38</v>
      </c>
      <c r="K25" s="302" t="s">
        <v>1520</v>
      </c>
      <c r="L25" s="183"/>
      <c r="M25" s="183"/>
      <c r="N25" s="183"/>
      <c r="O25" s="183"/>
      <c r="P25" s="183"/>
      <c r="Q25" s="183"/>
      <c r="R25" s="183"/>
      <c r="S25" s="183"/>
      <c r="T25" s="298"/>
    </row>
    <row r="26" spans="1:20" ht="12.75" customHeight="1">
      <c r="A26" s="299"/>
      <c r="B26" s="299"/>
      <c r="C26" s="115" t="s">
        <v>1530</v>
      </c>
      <c r="D26" s="115"/>
      <c r="E26" s="304">
        <f>(E24+E25)/E23</f>
        <v>0.014814814814814815</v>
      </c>
      <c r="F26" s="183"/>
      <c r="G26" s="305" t="s">
        <v>1544</v>
      </c>
      <c r="H26" s="305"/>
      <c r="I26" s="302">
        <f>1.25*14</f>
        <v>17.5</v>
      </c>
      <c r="J26" s="302" t="s">
        <v>1520</v>
      </c>
      <c r="K26" s="302" t="s">
        <v>1520</v>
      </c>
      <c r="L26" s="183"/>
      <c r="M26" s="183"/>
      <c r="N26" s="183"/>
      <c r="O26" s="183"/>
      <c r="P26" s="183"/>
      <c r="Q26" s="183"/>
      <c r="R26" s="183"/>
      <c r="S26" s="183"/>
      <c r="T26" s="298"/>
    </row>
    <row r="27" spans="1:20" ht="12.75" customHeight="1">
      <c r="A27" s="299"/>
      <c r="B27" s="299"/>
      <c r="C27" s="115"/>
      <c r="D27" s="115"/>
      <c r="E27" s="115"/>
      <c r="F27" s="183"/>
      <c r="G27" s="303" t="s">
        <v>1532</v>
      </c>
      <c r="H27" s="303"/>
      <c r="I27" s="301">
        <v>0.45</v>
      </c>
      <c r="J27" s="301">
        <v>0.45</v>
      </c>
      <c r="K27" s="302" t="s">
        <v>1520</v>
      </c>
      <c r="L27" s="183"/>
      <c r="M27" s="183"/>
      <c r="N27" s="183"/>
      <c r="O27" s="183"/>
      <c r="P27" s="183"/>
      <c r="Q27" s="183"/>
      <c r="R27" s="183"/>
      <c r="S27" s="183"/>
      <c r="T27" s="298"/>
    </row>
    <row r="28" spans="1:20" ht="12.75" customHeight="1">
      <c r="A28" s="299"/>
      <c r="B28" s="299"/>
      <c r="C28" s="115"/>
      <c r="D28" s="115"/>
      <c r="F28" s="183"/>
      <c r="G28" s="303" t="s">
        <v>1533</v>
      </c>
      <c r="H28" s="303"/>
      <c r="I28" s="301">
        <v>0.68</v>
      </c>
      <c r="J28" s="301">
        <v>0.68</v>
      </c>
      <c r="K28" s="302" t="s">
        <v>1520</v>
      </c>
      <c r="L28" s="183"/>
      <c r="M28" s="183"/>
      <c r="N28" s="183"/>
      <c r="O28" s="183"/>
      <c r="P28" s="183"/>
      <c r="Q28" s="183"/>
      <c r="R28" s="183"/>
      <c r="S28" s="183"/>
      <c r="T28" s="298"/>
    </row>
    <row r="29" spans="1:20" ht="12.75" customHeight="1">
      <c r="A29" s="299"/>
      <c r="B29" s="299"/>
      <c r="C29" s="115"/>
      <c r="D29" s="115"/>
      <c r="E29" s="115"/>
      <c r="F29" s="183"/>
      <c r="G29" s="305" t="s">
        <v>1534</v>
      </c>
      <c r="H29" s="305"/>
      <c r="I29" s="306">
        <f>E26</f>
        <v>0.014814814814814815</v>
      </c>
      <c r="J29" s="306">
        <f>1-I29</f>
        <v>0.9851851851851852</v>
      </c>
      <c r="K29" s="302" t="s">
        <v>1520</v>
      </c>
      <c r="L29" s="183"/>
      <c r="M29" s="183"/>
      <c r="N29" s="183"/>
      <c r="O29" s="183"/>
      <c r="P29" s="183"/>
      <c r="Q29" s="183"/>
      <c r="R29" s="183"/>
      <c r="S29" s="183"/>
      <c r="T29" s="298"/>
    </row>
    <row r="30" spans="1:20" ht="12.75" customHeight="1">
      <c r="A30" s="299"/>
      <c r="B30" s="299"/>
      <c r="C30" s="183"/>
      <c r="D30" s="183"/>
      <c r="E30" s="183"/>
      <c r="F30" s="183"/>
      <c r="G30" s="307" t="s">
        <v>1535</v>
      </c>
      <c r="H30" s="307"/>
      <c r="I30" s="308">
        <f>SUM(I22:I29)</f>
        <v>19.444814814814816</v>
      </c>
      <c r="J30" s="308">
        <f>SUM(J22:J28)</f>
        <v>39.93000000000001</v>
      </c>
      <c r="K30" s="309" t="s">
        <v>1520</v>
      </c>
      <c r="L30" s="146"/>
      <c r="M30" s="183"/>
      <c r="N30" s="183"/>
      <c r="O30" s="183"/>
      <c r="P30" s="183"/>
      <c r="Q30" s="183"/>
      <c r="R30" s="183"/>
      <c r="S30" s="183"/>
      <c r="T30" s="298"/>
    </row>
    <row r="31" spans="1:20" ht="12.75" customHeight="1">
      <c r="A31" s="59"/>
      <c r="B31" s="183"/>
      <c r="C31" s="183"/>
      <c r="D31" s="183"/>
      <c r="E31" s="183"/>
      <c r="F31" s="183"/>
      <c r="G31" s="307" t="s">
        <v>1536</v>
      </c>
      <c r="H31" s="307"/>
      <c r="I31" s="308">
        <f>1/I30</f>
        <v>0.05142759185539323</v>
      </c>
      <c r="J31" s="308">
        <f>1/J30</f>
        <v>0.025043826696719253</v>
      </c>
      <c r="K31" s="309" t="s">
        <v>1520</v>
      </c>
      <c r="L31" s="146"/>
      <c r="M31" s="183"/>
      <c r="N31" s="183"/>
      <c r="O31" s="183"/>
      <c r="P31" s="183"/>
      <c r="Q31" s="183"/>
      <c r="R31" s="183"/>
      <c r="S31" s="183"/>
      <c r="T31" s="298"/>
    </row>
    <row r="32" spans="1:20" ht="12.75" customHeight="1">
      <c r="A32" s="59"/>
      <c r="B32" s="183"/>
      <c r="C32" s="183"/>
      <c r="D32" s="183"/>
      <c r="E32" s="183"/>
      <c r="F32" s="183"/>
      <c r="G32" s="307" t="s">
        <v>1537</v>
      </c>
      <c r="H32" s="307"/>
      <c r="I32" s="307">
        <f>1/I33</f>
        <v>39.31637119690815</v>
      </c>
      <c r="J32" s="307"/>
      <c r="K32" s="309"/>
      <c r="L32" s="146"/>
      <c r="M32" s="183"/>
      <c r="N32" s="183"/>
      <c r="O32" s="183"/>
      <c r="P32" s="183"/>
      <c r="Q32" s="183"/>
      <c r="R32" s="183"/>
      <c r="S32" s="183"/>
      <c r="T32" s="298"/>
    </row>
    <row r="33" spans="1:20" ht="12.75" customHeight="1">
      <c r="A33" s="59"/>
      <c r="B33" s="183"/>
      <c r="C33" s="183"/>
      <c r="D33" s="183"/>
      <c r="E33" s="183"/>
      <c r="F33" s="183"/>
      <c r="G33" s="307" t="s">
        <v>1538</v>
      </c>
      <c r="H33" s="307"/>
      <c r="I33" s="310">
        <f>(I31*I29+J31*J29)</f>
        <v>0.02543469729166257</v>
      </c>
      <c r="J33" s="310"/>
      <c r="K33" s="309"/>
      <c r="L33" s="146"/>
      <c r="M33" s="183"/>
      <c r="N33" s="183"/>
      <c r="O33" s="183"/>
      <c r="P33" s="183"/>
      <c r="Q33" s="183"/>
      <c r="R33" s="183"/>
      <c r="S33" s="183"/>
      <c r="T33" s="298"/>
    </row>
    <row r="34" spans="1:20" ht="12.75" customHeight="1">
      <c r="A34" s="59"/>
      <c r="B34" s="183"/>
      <c r="C34" s="183"/>
      <c r="D34" s="183"/>
      <c r="E34" s="183"/>
      <c r="F34" s="183"/>
      <c r="G34" s="308"/>
      <c r="H34" s="311"/>
      <c r="I34" s="309"/>
      <c r="J34" s="309"/>
      <c r="K34" s="309"/>
      <c r="L34" s="146"/>
      <c r="M34" s="183"/>
      <c r="N34" s="183"/>
      <c r="O34" s="183"/>
      <c r="P34" s="183"/>
      <c r="Q34" s="183"/>
      <c r="R34" s="183"/>
      <c r="S34" s="183"/>
      <c r="T34" s="298"/>
    </row>
    <row r="35" spans="1:20" ht="12.75" customHeight="1">
      <c r="A35" s="274"/>
      <c r="B35" s="275"/>
      <c r="C35" s="275"/>
      <c r="D35" s="275"/>
      <c r="E35" s="275"/>
      <c r="F35" s="275"/>
      <c r="G35" s="312"/>
      <c r="H35" s="313"/>
      <c r="I35" s="314"/>
      <c r="J35" s="314"/>
      <c r="K35" s="314"/>
      <c r="L35" s="315"/>
      <c r="M35" s="275"/>
      <c r="N35" s="275"/>
      <c r="O35" s="275"/>
      <c r="P35" s="275"/>
      <c r="Q35" s="275"/>
      <c r="R35" s="275"/>
      <c r="S35" s="275"/>
      <c r="T35" s="316"/>
    </row>
    <row r="36" spans="1:20" ht="12.75" customHeight="1">
      <c r="A36" s="183"/>
      <c r="B36" s="183"/>
      <c r="C36" s="183"/>
      <c r="D36" s="183"/>
      <c r="E36" s="183"/>
      <c r="F36" s="183"/>
      <c r="G36" s="307"/>
      <c r="H36" s="317"/>
      <c r="I36" s="310"/>
      <c r="J36" s="310"/>
      <c r="K36" s="310"/>
      <c r="L36" s="146"/>
      <c r="M36" s="183"/>
      <c r="N36" s="183"/>
      <c r="O36" s="183"/>
      <c r="P36" s="183"/>
      <c r="Q36" s="183"/>
      <c r="R36" s="183"/>
      <c r="S36" s="183"/>
      <c r="T36" s="183"/>
    </row>
    <row r="37" spans="1:20" ht="12.75" customHeight="1">
      <c r="A37" s="183"/>
      <c r="B37" s="183"/>
      <c r="C37" s="183"/>
      <c r="D37" s="183"/>
      <c r="E37" s="183"/>
      <c r="F37" s="183"/>
      <c r="G37" s="307"/>
      <c r="H37" s="317"/>
      <c r="I37" s="310"/>
      <c r="J37" s="310"/>
      <c r="K37" s="310"/>
      <c r="L37" s="146"/>
      <c r="M37" s="183"/>
      <c r="N37" s="183"/>
      <c r="O37" s="183"/>
      <c r="P37" s="183"/>
      <c r="Q37" s="183"/>
      <c r="R37" s="183"/>
      <c r="S37" s="183"/>
      <c r="T37" s="183"/>
    </row>
    <row r="38" spans="1:20" ht="12.75" customHeight="1">
      <c r="A38" s="52" t="s">
        <v>1545</v>
      </c>
      <c r="B38" s="52"/>
      <c r="C38" s="52"/>
      <c r="D38" s="52"/>
      <c r="E38" s="52"/>
      <c r="F38" s="52"/>
      <c r="G38" s="52"/>
      <c r="H38" s="52"/>
      <c r="I38" s="52"/>
      <c r="J38" s="52"/>
      <c r="K38" s="52"/>
      <c r="L38" s="52"/>
      <c r="M38" s="52"/>
      <c r="N38" s="52"/>
      <c r="O38" s="52"/>
      <c r="P38" s="52"/>
      <c r="Q38" s="52"/>
      <c r="R38" s="52"/>
      <c r="S38" s="52"/>
      <c r="T38" s="52"/>
    </row>
    <row r="39" spans="1:20" ht="12.75" customHeight="1">
      <c r="A39" s="59"/>
      <c r="B39" s="183"/>
      <c r="C39" s="183"/>
      <c r="D39" s="183"/>
      <c r="E39" s="183"/>
      <c r="F39" s="183"/>
      <c r="G39" s="183"/>
      <c r="H39" s="183"/>
      <c r="I39" s="183" t="s">
        <v>18</v>
      </c>
      <c r="J39" s="183" t="s">
        <v>1517</v>
      </c>
      <c r="K39" s="183"/>
      <c r="L39" s="183"/>
      <c r="M39" s="183"/>
      <c r="N39" s="183"/>
      <c r="O39" s="183"/>
      <c r="P39" s="183"/>
      <c r="Q39" s="183"/>
      <c r="R39" s="183"/>
      <c r="S39" s="183"/>
      <c r="T39" s="298"/>
    </row>
    <row r="40" spans="1:20" ht="12.75" customHeight="1">
      <c r="A40" s="299" t="s">
        <v>1546</v>
      </c>
      <c r="B40" s="299"/>
      <c r="C40" s="183"/>
      <c r="D40" s="183"/>
      <c r="E40" s="183"/>
      <c r="F40" s="183"/>
      <c r="G40" s="300" t="s">
        <v>1519</v>
      </c>
      <c r="H40" s="300"/>
      <c r="I40" s="301">
        <v>0.17</v>
      </c>
      <c r="J40" s="301">
        <v>0.17</v>
      </c>
      <c r="K40" s="302" t="s">
        <v>1520</v>
      </c>
      <c r="L40" s="183"/>
      <c r="M40" s="183"/>
      <c r="N40" s="183"/>
      <c r="O40" s="183"/>
      <c r="P40" s="183"/>
      <c r="Q40" s="183"/>
      <c r="R40" s="183"/>
      <c r="S40" s="183"/>
      <c r="T40" s="298"/>
    </row>
    <row r="41" spans="1:20" ht="12.75" customHeight="1">
      <c r="A41" s="299"/>
      <c r="B41" s="299"/>
      <c r="C41" s="115" t="s">
        <v>1521</v>
      </c>
      <c r="D41" s="115" t="s">
        <v>1547</v>
      </c>
      <c r="E41" s="115">
        <f>14.5*(18*12)</f>
        <v>3132</v>
      </c>
      <c r="F41" s="183"/>
      <c r="G41" s="303" t="s">
        <v>1542</v>
      </c>
      <c r="H41" s="303"/>
      <c r="L41" s="183"/>
      <c r="M41" s="183"/>
      <c r="N41" s="183"/>
      <c r="O41" s="183"/>
      <c r="P41" s="183"/>
      <c r="Q41" s="183"/>
      <c r="R41" s="183"/>
      <c r="S41" s="183"/>
      <c r="T41" s="298"/>
    </row>
    <row r="42" spans="1:20" ht="12.75" customHeight="1">
      <c r="A42" s="299"/>
      <c r="B42" s="299"/>
      <c r="C42" s="115" t="s">
        <v>1524</v>
      </c>
      <c r="D42" s="115" t="s">
        <v>1548</v>
      </c>
      <c r="E42" s="115">
        <f>2*16*2</f>
        <v>64</v>
      </c>
      <c r="F42" s="183"/>
      <c r="G42" s="303" t="s">
        <v>1549</v>
      </c>
      <c r="H42" s="303"/>
      <c r="I42" s="301">
        <f>(7/8)*1.25</f>
        <v>1.09375</v>
      </c>
      <c r="J42" s="301">
        <f>(7/8)*1.25</f>
        <v>1.09375</v>
      </c>
      <c r="K42" s="302" t="s">
        <v>1520</v>
      </c>
      <c r="L42" s="183"/>
      <c r="M42" s="183"/>
      <c r="N42" s="183"/>
      <c r="O42" s="183"/>
      <c r="P42" s="183"/>
      <c r="Q42" s="183"/>
      <c r="R42" s="183"/>
      <c r="S42" s="183"/>
      <c r="T42" s="298"/>
    </row>
    <row r="43" spans="1:20" ht="12.75" customHeight="1">
      <c r="A43" s="299"/>
      <c r="B43" s="299"/>
      <c r="C43" s="115" t="s">
        <v>1527</v>
      </c>
      <c r="D43" s="115" t="s">
        <v>1528</v>
      </c>
      <c r="F43" s="183"/>
      <c r="G43" s="303" t="s">
        <v>1543</v>
      </c>
      <c r="H43" s="303"/>
      <c r="I43" s="302">
        <f>30*1.5</f>
        <v>45</v>
      </c>
      <c r="J43" s="302">
        <f>30*1.5</f>
        <v>45</v>
      </c>
      <c r="K43" s="302" t="s">
        <v>1520</v>
      </c>
      <c r="L43" s="183"/>
      <c r="M43" s="183"/>
      <c r="N43" s="183"/>
      <c r="O43" s="183"/>
      <c r="P43" s="183"/>
      <c r="Q43" s="183"/>
      <c r="R43" s="183"/>
      <c r="S43" s="183"/>
      <c r="T43" s="298"/>
    </row>
    <row r="44" spans="1:20" ht="12.75" customHeight="1">
      <c r="A44" s="299"/>
      <c r="B44" s="299"/>
      <c r="C44" s="115" t="s">
        <v>1530</v>
      </c>
      <c r="D44" s="115"/>
      <c r="E44" s="304">
        <f>(E42+E43)/E41</f>
        <v>0.020434227330779056</v>
      </c>
      <c r="F44" s="183"/>
      <c r="G44" s="305" t="s">
        <v>1531</v>
      </c>
      <c r="H44" s="305"/>
      <c r="I44" s="302">
        <f>1.25*10</f>
        <v>12.5</v>
      </c>
      <c r="J44" s="302" t="s">
        <v>1520</v>
      </c>
      <c r="K44" s="302" t="s">
        <v>1520</v>
      </c>
      <c r="L44" s="183"/>
      <c r="M44" s="183"/>
      <c r="N44" s="183"/>
      <c r="O44" s="183"/>
      <c r="P44" s="183"/>
      <c r="Q44" s="183"/>
      <c r="R44" s="183"/>
      <c r="S44" s="183"/>
      <c r="T44" s="298"/>
    </row>
    <row r="45" spans="1:20" ht="12.75" customHeight="1">
      <c r="A45" s="299"/>
      <c r="B45" s="299"/>
      <c r="C45" s="115"/>
      <c r="D45" s="115"/>
      <c r="E45" s="115"/>
      <c r="F45" s="183"/>
      <c r="G45" s="303" t="s">
        <v>1532</v>
      </c>
      <c r="H45" s="303"/>
      <c r="I45" s="301">
        <v>0.45</v>
      </c>
      <c r="J45" s="301">
        <v>0.45</v>
      </c>
      <c r="K45" s="302" t="s">
        <v>1520</v>
      </c>
      <c r="L45" s="183"/>
      <c r="M45" s="183"/>
      <c r="N45" s="183"/>
      <c r="O45" s="183"/>
      <c r="P45" s="183"/>
      <c r="Q45" s="183"/>
      <c r="R45" s="183"/>
      <c r="S45" s="183"/>
      <c r="T45" s="298"/>
    </row>
    <row r="46" spans="1:20" ht="12.75" customHeight="1">
      <c r="A46" s="299"/>
      <c r="B46" s="299"/>
      <c r="C46" s="115"/>
      <c r="D46" s="115"/>
      <c r="E46" s="115"/>
      <c r="F46" s="183"/>
      <c r="G46" s="303" t="s">
        <v>1533</v>
      </c>
      <c r="H46" s="303"/>
      <c r="I46" s="301">
        <v>0.68</v>
      </c>
      <c r="J46" s="301">
        <v>0.68</v>
      </c>
      <c r="K46" s="302" t="s">
        <v>1520</v>
      </c>
      <c r="L46" s="183"/>
      <c r="M46" s="183"/>
      <c r="N46" s="183"/>
      <c r="O46" s="183"/>
      <c r="P46" s="183"/>
      <c r="Q46" s="183"/>
      <c r="R46" s="183"/>
      <c r="S46" s="183"/>
      <c r="T46" s="298"/>
    </row>
    <row r="47" spans="1:20" ht="12.75" customHeight="1">
      <c r="A47" s="299"/>
      <c r="B47" s="299"/>
      <c r="C47" s="115"/>
      <c r="D47" s="115"/>
      <c r="E47" s="115"/>
      <c r="F47" s="183"/>
      <c r="G47" s="305" t="s">
        <v>1534</v>
      </c>
      <c r="H47" s="305"/>
      <c r="I47" s="306">
        <v>0.1</v>
      </c>
      <c r="J47" s="306">
        <v>0.9</v>
      </c>
      <c r="K47" s="302" t="s">
        <v>1520</v>
      </c>
      <c r="L47" s="183"/>
      <c r="M47" s="183"/>
      <c r="N47" s="183"/>
      <c r="O47" s="183"/>
      <c r="P47" s="183"/>
      <c r="Q47" s="183"/>
      <c r="R47" s="183"/>
      <c r="S47" s="183"/>
      <c r="T47" s="298"/>
    </row>
    <row r="48" spans="1:20" ht="12.75" customHeight="1">
      <c r="A48" s="299"/>
      <c r="B48" s="299"/>
      <c r="C48" s="183"/>
      <c r="D48" s="183"/>
      <c r="E48" s="183"/>
      <c r="F48" s="183"/>
      <c r="G48" s="307" t="s">
        <v>1535</v>
      </c>
      <c r="H48" s="307"/>
      <c r="I48" s="308">
        <f>SUM(I40:I47)</f>
        <v>59.993750000000006</v>
      </c>
      <c r="J48" s="308">
        <f>SUM(J40:J46)</f>
        <v>47.393750000000004</v>
      </c>
      <c r="K48" s="309" t="s">
        <v>1520</v>
      </c>
      <c r="L48" s="146"/>
      <c r="M48" s="183"/>
      <c r="N48" s="183"/>
      <c r="O48" s="183"/>
      <c r="P48" s="183"/>
      <c r="Q48" s="183"/>
      <c r="R48" s="183"/>
      <c r="S48" s="183"/>
      <c r="T48" s="298"/>
    </row>
    <row r="49" spans="1:20" ht="12.75" customHeight="1">
      <c r="A49" s="59"/>
      <c r="B49" s="183"/>
      <c r="C49" s="183"/>
      <c r="D49" s="183"/>
      <c r="E49" s="183"/>
      <c r="F49" s="183"/>
      <c r="G49" s="307" t="s">
        <v>1536</v>
      </c>
      <c r="H49" s="307"/>
      <c r="I49" s="308">
        <f>1/I48</f>
        <v>0.016668402958641523</v>
      </c>
      <c r="J49" s="308">
        <f>1/J48</f>
        <v>0.021099828563892916</v>
      </c>
      <c r="K49" s="309" t="s">
        <v>1520</v>
      </c>
      <c r="L49" s="146"/>
      <c r="M49" s="183"/>
      <c r="N49" s="183"/>
      <c r="O49" s="183"/>
      <c r="P49" s="183"/>
      <c r="Q49" s="183"/>
      <c r="R49" s="183"/>
      <c r="S49" s="183"/>
      <c r="T49" s="298"/>
    </row>
    <row r="50" spans="1:20" ht="12.75" customHeight="1">
      <c r="A50" s="59"/>
      <c r="B50" s="183"/>
      <c r="C50" s="183"/>
      <c r="D50" s="183"/>
      <c r="E50" s="183"/>
      <c r="F50" s="183"/>
      <c r="G50" s="307" t="s">
        <v>1537</v>
      </c>
      <c r="H50" s="307"/>
      <c r="I50" s="307">
        <f>1/I51</f>
        <v>48.410475902909326</v>
      </c>
      <c r="J50" s="307"/>
      <c r="K50" s="309"/>
      <c r="L50" s="146"/>
      <c r="M50" s="183"/>
      <c r="N50" s="183"/>
      <c r="O50" s="183"/>
      <c r="P50" s="183"/>
      <c r="Q50" s="183"/>
      <c r="R50" s="183"/>
      <c r="S50" s="183"/>
      <c r="T50" s="298"/>
    </row>
    <row r="51" spans="1:20" ht="12.75" customHeight="1">
      <c r="A51" s="59"/>
      <c r="B51" s="183"/>
      <c r="C51" s="183"/>
      <c r="D51" s="183"/>
      <c r="E51" s="183"/>
      <c r="F51" s="183"/>
      <c r="G51" s="307" t="s">
        <v>1538</v>
      </c>
      <c r="H51" s="307"/>
      <c r="I51" s="310">
        <f>(I49*I47+J49*J47)</f>
        <v>0.020656686003367775</v>
      </c>
      <c r="J51" s="310"/>
      <c r="K51" s="309"/>
      <c r="L51" s="146"/>
      <c r="M51" s="183"/>
      <c r="N51" s="183"/>
      <c r="O51" s="183"/>
      <c r="P51" s="183"/>
      <c r="Q51" s="183"/>
      <c r="R51" s="183"/>
      <c r="S51" s="183"/>
      <c r="T51" s="298"/>
    </row>
    <row r="52" spans="1:20" ht="12.75" customHeight="1">
      <c r="A52" s="59"/>
      <c r="B52" s="183"/>
      <c r="C52" s="183"/>
      <c r="D52" s="183"/>
      <c r="E52" s="183"/>
      <c r="F52" s="183"/>
      <c r="G52" s="308"/>
      <c r="H52" s="311"/>
      <c r="I52" s="309"/>
      <c r="J52" s="309"/>
      <c r="K52" s="309"/>
      <c r="L52" s="146"/>
      <c r="M52" s="183"/>
      <c r="N52" s="183"/>
      <c r="O52" s="183"/>
      <c r="P52" s="183"/>
      <c r="Q52" s="183"/>
      <c r="R52" s="183"/>
      <c r="S52" s="183"/>
      <c r="T52" s="298"/>
    </row>
    <row r="53" spans="1:20" ht="12.75" customHeight="1">
      <c r="A53" s="274"/>
      <c r="B53" s="275"/>
      <c r="C53" s="275"/>
      <c r="D53" s="275"/>
      <c r="E53" s="275"/>
      <c r="F53" s="275"/>
      <c r="G53" s="312"/>
      <c r="H53" s="313"/>
      <c r="I53" s="314"/>
      <c r="J53" s="314"/>
      <c r="K53" s="314"/>
      <c r="L53" s="315"/>
      <c r="M53" s="275"/>
      <c r="N53" s="275"/>
      <c r="O53" s="275"/>
      <c r="P53" s="275"/>
      <c r="Q53" s="275"/>
      <c r="R53" s="275"/>
      <c r="S53" s="275"/>
      <c r="T53" s="316"/>
    </row>
    <row r="54" ht="12.75" customHeight="1"/>
    <row r="55" ht="12.75" customHeight="1"/>
    <row r="56" spans="1:20" ht="12.75" customHeight="1">
      <c r="A56" s="52" t="s">
        <v>1550</v>
      </c>
      <c r="B56" s="52"/>
      <c r="C56" s="52"/>
      <c r="D56" s="52"/>
      <c r="E56" s="52"/>
      <c r="F56" s="52"/>
      <c r="G56" s="52"/>
      <c r="H56" s="52"/>
      <c r="I56" s="52"/>
      <c r="J56" s="52"/>
      <c r="K56" s="52"/>
      <c r="L56" s="52"/>
      <c r="M56" s="52"/>
      <c r="N56" s="52"/>
      <c r="O56" s="52"/>
      <c r="P56" s="52"/>
      <c r="Q56" s="52"/>
      <c r="R56" s="52"/>
      <c r="S56" s="52"/>
      <c r="T56" s="52"/>
    </row>
    <row r="57" spans="1:20" ht="12.75">
      <c r="A57" s="233"/>
      <c r="B57" s="233"/>
      <c r="C57" s="233"/>
      <c r="D57" s="233"/>
      <c r="E57" s="233"/>
      <c r="F57" s="233"/>
      <c r="G57" s="233"/>
      <c r="H57" s="233"/>
      <c r="I57" s="233"/>
      <c r="J57" s="233"/>
      <c r="K57" s="233"/>
      <c r="L57" s="233"/>
      <c r="M57" s="233"/>
      <c r="N57" s="233"/>
      <c r="O57" s="233"/>
      <c r="P57" s="233"/>
      <c r="Q57" s="233"/>
      <c r="R57" s="233"/>
      <c r="S57" s="233"/>
      <c r="T57" s="233"/>
    </row>
    <row r="58" spans="1:20" ht="12.75" customHeight="1">
      <c r="A58" s="318"/>
      <c r="B58" s="52" t="s">
        <v>1551</v>
      </c>
      <c r="C58" s="52"/>
      <c r="D58" s="52"/>
      <c r="E58" s="52"/>
      <c r="F58" s="2"/>
      <c r="G58" s="52" t="s">
        <v>22</v>
      </c>
      <c r="H58" s="52"/>
      <c r="I58" s="52"/>
      <c r="J58" s="52"/>
      <c r="K58" s="2"/>
      <c r="L58" s="52" t="s">
        <v>21</v>
      </c>
      <c r="M58" s="52"/>
      <c r="N58" s="52"/>
      <c r="O58" s="52"/>
      <c r="P58" s="2"/>
      <c r="Q58" s="52" t="s">
        <v>1552</v>
      </c>
      <c r="R58" s="52"/>
      <c r="S58" s="52"/>
      <c r="T58" s="52"/>
    </row>
    <row r="59" spans="1:20" ht="12.75">
      <c r="A59" s="42"/>
      <c r="B59" s="42" t="s">
        <v>1553</v>
      </c>
      <c r="C59" s="45" t="s">
        <v>1061</v>
      </c>
      <c r="D59" s="45" t="s">
        <v>974</v>
      </c>
      <c r="E59" s="7" t="s">
        <v>1554</v>
      </c>
      <c r="F59" s="45"/>
      <c r="G59" s="42" t="s">
        <v>1553</v>
      </c>
      <c r="H59" t="s">
        <v>1061</v>
      </c>
      <c r="I59" t="s">
        <v>974</v>
      </c>
      <c r="J59" s="7" t="s">
        <v>1554</v>
      </c>
      <c r="L59" s="42" t="s">
        <v>1553</v>
      </c>
      <c r="M59" t="s">
        <v>1061</v>
      </c>
      <c r="N59" t="s">
        <v>974</v>
      </c>
      <c r="O59" s="7" t="s">
        <v>1554</v>
      </c>
      <c r="Q59" s="42" t="s">
        <v>1553</v>
      </c>
      <c r="R59" s="97" t="s">
        <v>1061</v>
      </c>
      <c r="S59" t="s">
        <v>974</v>
      </c>
      <c r="T59" s="7" t="s">
        <v>1554</v>
      </c>
    </row>
    <row r="60" spans="1:20" ht="12.75">
      <c r="A60" s="42"/>
      <c r="B60" s="42">
        <v>96</v>
      </c>
      <c r="C60" s="45">
        <v>8</v>
      </c>
      <c r="D60" s="45">
        <f>B60*C60</f>
        <v>768</v>
      </c>
      <c r="E60" s="7">
        <f>1/I14</f>
        <v>0.02882168415654388</v>
      </c>
      <c r="F60" s="45"/>
      <c r="G60" s="42">
        <f>(36+8)/12</f>
        <v>3.6666666666666665</v>
      </c>
      <c r="H60" s="45">
        <f>(36+8)/12</f>
        <v>3.6666666666666665</v>
      </c>
      <c r="I60" s="22">
        <f>G60*H60</f>
        <v>13.444444444444443</v>
      </c>
      <c r="J60" s="7">
        <v>0.34</v>
      </c>
      <c r="L60" s="42">
        <v>3</v>
      </c>
      <c r="M60" s="22">
        <f>80/12</f>
        <v>6.666666666666667</v>
      </c>
      <c r="N60" s="22">
        <f>L60*M60</f>
        <v>20</v>
      </c>
      <c r="O60" s="7">
        <f>1/5</f>
        <v>0.2</v>
      </c>
      <c r="Q60" s="42">
        <v>0</v>
      </c>
      <c r="R60" s="97">
        <v>0</v>
      </c>
      <c r="S60" s="22">
        <f>Q60*R60</f>
        <v>0</v>
      </c>
      <c r="T60" s="7">
        <f>2/1</f>
        <v>2</v>
      </c>
    </row>
    <row r="61" spans="1:20" ht="12.75">
      <c r="A61" s="42"/>
      <c r="B61" s="42">
        <v>18</v>
      </c>
      <c r="C61" s="45">
        <v>12</v>
      </c>
      <c r="D61" s="45">
        <f>B61*C61</f>
        <v>216</v>
      </c>
      <c r="E61" s="7">
        <f>E60</f>
        <v>0.02882168415654388</v>
      </c>
      <c r="F61" s="45"/>
      <c r="G61" s="42">
        <f>(36+8)/12</f>
        <v>3.6666666666666665</v>
      </c>
      <c r="H61" s="45">
        <f>(36+8)/12</f>
        <v>3.6666666666666665</v>
      </c>
      <c r="I61" s="22">
        <f>G61*H61</f>
        <v>13.444444444444443</v>
      </c>
      <c r="J61" s="7">
        <f>J60</f>
        <v>0.34</v>
      </c>
      <c r="L61" s="42"/>
      <c r="O61" s="7"/>
      <c r="Q61" s="42"/>
      <c r="R61" s="97"/>
      <c r="T61" s="7"/>
    </row>
    <row r="62" spans="1:20" ht="12.75">
      <c r="A62" s="42"/>
      <c r="B62" s="42"/>
      <c r="C62" s="45"/>
      <c r="D62" s="45"/>
      <c r="E62" s="7"/>
      <c r="F62" s="45"/>
      <c r="G62" s="42">
        <f>(36+8)/12</f>
        <v>3.6666666666666665</v>
      </c>
      <c r="H62" s="45">
        <f>(36+8)/12</f>
        <v>3.6666666666666665</v>
      </c>
      <c r="I62" s="22">
        <f>G62*H62</f>
        <v>13.444444444444443</v>
      </c>
      <c r="J62" s="7">
        <f>J61</f>
        <v>0.34</v>
      </c>
      <c r="L62" s="42"/>
      <c r="O62" s="7"/>
      <c r="Q62" s="42"/>
      <c r="R62" s="97"/>
      <c r="T62" s="7"/>
    </row>
    <row r="63" spans="1:20" ht="12.75">
      <c r="A63" s="42"/>
      <c r="B63" s="42"/>
      <c r="C63" s="45"/>
      <c r="D63" s="45"/>
      <c r="E63" s="7"/>
      <c r="F63" s="45"/>
      <c r="G63" s="42">
        <f>(36+8)/12</f>
        <v>3.6666666666666665</v>
      </c>
      <c r="H63" s="45">
        <f>(36+8)/12</f>
        <v>3.6666666666666665</v>
      </c>
      <c r="I63" s="22">
        <f>G63*H63</f>
        <v>13.444444444444443</v>
      </c>
      <c r="J63" s="7">
        <f>J62</f>
        <v>0.34</v>
      </c>
      <c r="L63" s="42"/>
      <c r="O63" s="7"/>
      <c r="Q63" s="42"/>
      <c r="R63" s="97"/>
      <c r="T63" s="7"/>
    </row>
    <row r="64" spans="1:20" ht="12.75">
      <c r="A64" s="42"/>
      <c r="B64" s="42"/>
      <c r="C64" s="45"/>
      <c r="D64" s="45"/>
      <c r="E64" s="7"/>
      <c r="F64" s="45"/>
      <c r="G64" s="42">
        <f>(36+8)/12</f>
        <v>3.6666666666666665</v>
      </c>
      <c r="H64" s="45">
        <f>(36+8)/12</f>
        <v>3.6666666666666665</v>
      </c>
      <c r="I64" s="22">
        <f>G64*H64</f>
        <v>13.444444444444443</v>
      </c>
      <c r="J64" s="7">
        <f>J63</f>
        <v>0.34</v>
      </c>
      <c r="L64" s="42"/>
      <c r="O64" s="7"/>
      <c r="Q64" s="42"/>
      <c r="R64" s="97"/>
      <c r="T64" s="7"/>
    </row>
    <row r="65" spans="1:20" ht="12.75">
      <c r="A65" s="42"/>
      <c r="B65" s="42"/>
      <c r="C65" s="45"/>
      <c r="D65" s="45"/>
      <c r="E65" s="7"/>
      <c r="F65" s="45"/>
      <c r="G65" s="42">
        <v>8</v>
      </c>
      <c r="H65">
        <v>4</v>
      </c>
      <c r="I65" s="22">
        <f>G65*H65</f>
        <v>32</v>
      </c>
      <c r="J65" s="7">
        <f>J64</f>
        <v>0.34</v>
      </c>
      <c r="L65" s="42"/>
      <c r="O65" s="7"/>
      <c r="Q65" s="42"/>
      <c r="R65" s="97"/>
      <c r="T65" s="7"/>
    </row>
    <row r="66" spans="1:20" ht="12.75">
      <c r="A66" s="42"/>
      <c r="B66" s="42"/>
      <c r="E66" s="7"/>
      <c r="G66" s="42">
        <v>1.5</v>
      </c>
      <c r="H66">
        <v>4</v>
      </c>
      <c r="I66" s="22">
        <f>G66*H66</f>
        <v>6</v>
      </c>
      <c r="J66" s="7">
        <f>J65</f>
        <v>0.34</v>
      </c>
      <c r="L66" s="42"/>
      <c r="O66" s="7"/>
      <c r="Q66" s="42"/>
      <c r="R66" s="97"/>
      <c r="T66" s="7"/>
    </row>
    <row r="67" spans="1:20" ht="12.75">
      <c r="A67" s="42"/>
      <c r="B67" s="42"/>
      <c r="E67" s="7"/>
      <c r="G67" s="42">
        <v>1.5</v>
      </c>
      <c r="H67">
        <v>4</v>
      </c>
      <c r="I67" s="22">
        <f>G67*H67</f>
        <v>6</v>
      </c>
      <c r="J67" s="7">
        <f>J66</f>
        <v>0.34</v>
      </c>
      <c r="L67" s="42"/>
      <c r="O67" s="7"/>
      <c r="Q67" s="42"/>
      <c r="R67" s="97"/>
      <c r="T67" s="7"/>
    </row>
    <row r="68" spans="1:20" ht="12.75">
      <c r="A68" s="42"/>
      <c r="B68" s="42"/>
      <c r="E68" s="7"/>
      <c r="G68" s="42">
        <f>(36+8)/12</f>
        <v>3.6666666666666665</v>
      </c>
      <c r="H68">
        <v>2</v>
      </c>
      <c r="I68" s="22">
        <f>G68*H68</f>
        <v>7.333333333333333</v>
      </c>
      <c r="J68" s="7">
        <f>J67</f>
        <v>0.34</v>
      </c>
      <c r="L68" s="42"/>
      <c r="O68" s="7"/>
      <c r="Q68" s="42"/>
      <c r="R68" s="97"/>
      <c r="T68" s="7"/>
    </row>
    <row r="69" spans="1:20" ht="12.75">
      <c r="A69" s="42"/>
      <c r="B69" s="42"/>
      <c r="E69" s="7"/>
      <c r="G69" s="42"/>
      <c r="J69" s="7"/>
      <c r="L69" s="42"/>
      <c r="O69" s="7"/>
      <c r="Q69" s="42"/>
      <c r="R69" s="97"/>
      <c r="T69" s="7"/>
    </row>
    <row r="70" spans="1:20" ht="12.75">
      <c r="A70" s="42"/>
      <c r="B70" s="42"/>
      <c r="E70" s="7"/>
      <c r="G70" s="42"/>
      <c r="J70" s="7"/>
      <c r="L70" s="42"/>
      <c r="O70" s="7"/>
      <c r="Q70" s="42"/>
      <c r="R70" s="97"/>
      <c r="T70" s="7"/>
    </row>
    <row r="71" spans="1:20" ht="12.75">
      <c r="A71" s="42"/>
      <c r="B71" s="42"/>
      <c r="E71" s="7"/>
      <c r="G71" s="42"/>
      <c r="J71" s="7"/>
      <c r="L71" s="42"/>
      <c r="O71" s="7"/>
      <c r="Q71" s="42"/>
      <c r="R71" s="97"/>
      <c r="T71" s="7"/>
    </row>
    <row r="72" spans="1:20" ht="12.75">
      <c r="A72" s="42"/>
      <c r="B72" s="42"/>
      <c r="E72" s="7"/>
      <c r="G72" s="42"/>
      <c r="J72" s="7"/>
      <c r="L72" s="42"/>
      <c r="O72" s="7"/>
      <c r="Q72" s="42"/>
      <c r="R72" s="97"/>
      <c r="T72" s="7"/>
    </row>
    <row r="73" spans="1:20" ht="12.75">
      <c r="A73" s="42"/>
      <c r="B73" s="42"/>
      <c r="E73" s="7"/>
      <c r="G73" s="42"/>
      <c r="J73" s="7"/>
      <c r="L73" s="42"/>
      <c r="O73" s="7"/>
      <c r="Q73" s="42"/>
      <c r="R73" s="97"/>
      <c r="T73" s="7"/>
    </row>
    <row r="74" spans="1:20" ht="12.75">
      <c r="A74" s="42"/>
      <c r="B74" s="42"/>
      <c r="E74" s="7"/>
      <c r="G74" s="42"/>
      <c r="J74" s="7"/>
      <c r="L74" s="42"/>
      <c r="O74" s="7"/>
      <c r="Q74" s="42"/>
      <c r="R74" s="97"/>
      <c r="T74" s="7"/>
    </row>
    <row r="75" spans="1:20" ht="12.75">
      <c r="A75" s="42"/>
      <c r="B75" s="42"/>
      <c r="C75" s="97"/>
      <c r="D75" s="97"/>
      <c r="E75" s="7"/>
      <c r="G75" s="42"/>
      <c r="J75" s="7"/>
      <c r="L75" s="42"/>
      <c r="O75" s="7"/>
      <c r="Q75" s="42"/>
      <c r="R75" s="97"/>
      <c r="T75" s="7"/>
    </row>
    <row r="76" spans="1:20" ht="12.75">
      <c r="A76" s="319" t="s">
        <v>1555</v>
      </c>
      <c r="B76" s="319">
        <f>SUM(B60:B75)</f>
        <v>114</v>
      </c>
      <c r="C76" s="320">
        <f>SUM(C60:C75)</f>
        <v>20</v>
      </c>
      <c r="D76" s="320">
        <f>SUM(D60:D75)</f>
        <v>984</v>
      </c>
      <c r="E76" s="321" t="s">
        <v>242</v>
      </c>
      <c r="F76" s="320"/>
      <c r="G76" s="319">
        <f>SUM(G60:G75)</f>
        <v>33</v>
      </c>
      <c r="H76" s="320">
        <f>SUM(H60:H75)</f>
        <v>32.33333333333333</v>
      </c>
      <c r="I76" s="320">
        <f>SUM(I60:I75)</f>
        <v>118.55555555555554</v>
      </c>
      <c r="J76" s="321" t="s">
        <v>242</v>
      </c>
      <c r="K76" s="320"/>
      <c r="L76" s="319">
        <f>SUM(L60:L75)</f>
        <v>3</v>
      </c>
      <c r="M76" s="320">
        <f>SUM(M60:M75)</f>
        <v>6.666666666666667</v>
      </c>
      <c r="N76" s="320">
        <f>SUM(N60:N75)</f>
        <v>20</v>
      </c>
      <c r="O76" s="321" t="s">
        <v>242</v>
      </c>
      <c r="P76" s="320"/>
      <c r="Q76" s="319">
        <f>SUM(Q60:Q75)</f>
        <v>0</v>
      </c>
      <c r="R76" s="320">
        <f>SUM(R60:R75)</f>
        <v>0</v>
      </c>
      <c r="S76" s="320">
        <f>SUM(S60:S75)</f>
        <v>0</v>
      </c>
      <c r="T76" s="321" t="s">
        <v>242</v>
      </c>
    </row>
    <row r="77" spans="1:20" ht="12.75">
      <c r="A77" s="42"/>
      <c r="B77" s="97"/>
      <c r="C77" s="97"/>
      <c r="D77" s="97"/>
      <c r="E77" s="97"/>
      <c r="G77" s="97"/>
      <c r="H77" s="97"/>
      <c r="I77" s="97"/>
      <c r="J77" s="97"/>
      <c r="L77" s="97"/>
      <c r="M77" s="97"/>
      <c r="N77" s="97"/>
      <c r="O77" s="97"/>
      <c r="Q77" s="97"/>
      <c r="R77" s="97"/>
      <c r="S77" s="97"/>
      <c r="T77" s="7"/>
    </row>
    <row r="78" spans="1:20" ht="12.75">
      <c r="A78" s="52" t="s">
        <v>1556</v>
      </c>
      <c r="B78" s="52"/>
      <c r="C78" s="52"/>
      <c r="D78" s="52"/>
      <c r="G78" s="45" t="s">
        <v>1557</v>
      </c>
      <c r="I78" s="95">
        <f>B82/3600</f>
        <v>0.03293209876543209</v>
      </c>
      <c r="O78" s="97"/>
      <c r="T78" s="7"/>
    </row>
    <row r="79" spans="1:20" ht="12.75">
      <c r="A79" s="42" t="s">
        <v>1558</v>
      </c>
      <c r="B79" s="97" t="s">
        <v>1229</v>
      </c>
      <c r="C79" t="s">
        <v>1554</v>
      </c>
      <c r="D79" s="7" t="s">
        <v>1559</v>
      </c>
      <c r="O79" s="97"/>
      <c r="T79" s="7"/>
    </row>
    <row r="80" spans="1:20" ht="12.75">
      <c r="A80" s="42" t="s">
        <v>1560</v>
      </c>
      <c r="B80" s="97">
        <f>D76</f>
        <v>984</v>
      </c>
      <c r="D80" s="7"/>
      <c r="O80" s="97"/>
      <c r="T80" s="7"/>
    </row>
    <row r="81" spans="1:20" ht="12.75">
      <c r="A81" s="42" t="s">
        <v>1551</v>
      </c>
      <c r="B81" s="97">
        <f>B80-B82-B83-B84</f>
        <v>845.4444444444445</v>
      </c>
      <c r="C81" s="22">
        <f>E60</f>
        <v>0.02882168415654388</v>
      </c>
      <c r="D81" s="7">
        <f>B81*C81</f>
        <v>24.367132749682487</v>
      </c>
      <c r="O81" s="97"/>
      <c r="T81" s="7"/>
    </row>
    <row r="82" spans="1:20" ht="12.75">
      <c r="A82" s="42" t="s">
        <v>1117</v>
      </c>
      <c r="B82" s="97">
        <f>I76</f>
        <v>118.55555555555554</v>
      </c>
      <c r="C82" s="22">
        <f>J60</f>
        <v>0.34</v>
      </c>
      <c r="D82" s="7">
        <f>B82*C82</f>
        <v>40.30888888888889</v>
      </c>
      <c r="O82" s="97"/>
      <c r="T82" s="7"/>
    </row>
    <row r="83" spans="1:20" ht="12.75">
      <c r="A83" s="42" t="s">
        <v>21</v>
      </c>
      <c r="B83" s="97">
        <f>N76</f>
        <v>20</v>
      </c>
      <c r="C83" s="22">
        <f>O60</f>
        <v>0.2</v>
      </c>
      <c r="D83" s="7">
        <f>B83*C83</f>
        <v>4</v>
      </c>
      <c r="O83" s="97"/>
      <c r="T83" s="7"/>
    </row>
    <row r="84" spans="1:20" ht="12.75">
      <c r="A84" s="42" t="s">
        <v>1552</v>
      </c>
      <c r="B84" s="97">
        <f>S76</f>
        <v>0</v>
      </c>
      <c r="C84" s="22">
        <f>T60</f>
        <v>2</v>
      </c>
      <c r="D84" s="7">
        <f>B84*C84</f>
        <v>0</v>
      </c>
      <c r="O84" s="97"/>
      <c r="T84" s="7"/>
    </row>
    <row r="85" spans="1:20" ht="12.75">
      <c r="A85" s="42" t="s">
        <v>1561</v>
      </c>
      <c r="B85" s="322">
        <f>B82/B81</f>
        <v>0.14022867656722302</v>
      </c>
      <c r="D85" s="7"/>
      <c r="O85" s="97"/>
      <c r="T85" s="7"/>
    </row>
    <row r="86" spans="1:20" ht="12.75">
      <c r="A86" s="77" t="s">
        <v>1555</v>
      </c>
      <c r="B86" s="18"/>
      <c r="C86" s="18"/>
      <c r="D86" s="78">
        <f>SUM(D81:D84)</f>
        <v>68.67602163857137</v>
      </c>
      <c r="O86" s="97"/>
      <c r="T86" s="7"/>
    </row>
    <row r="87" spans="1:20" ht="12.75">
      <c r="A87" s="77"/>
      <c r="B87" s="18"/>
      <c r="C87" s="18"/>
      <c r="D87" s="78"/>
      <c r="O87" s="97"/>
      <c r="T87" s="7"/>
    </row>
    <row r="88" spans="1:20" ht="12.75">
      <c r="A88" s="77" t="s">
        <v>1562</v>
      </c>
      <c r="B88" s="17">
        <f>D86/B80</f>
        <v>0.06979270491724733</v>
      </c>
      <c r="C88" s="77" t="s">
        <v>1563</v>
      </c>
      <c r="D88" s="17">
        <f>1/B88</f>
        <v>14.32814505736226</v>
      </c>
      <c r="E88" s="18"/>
      <c r="F88" s="18"/>
      <c r="G88" s="18"/>
      <c r="H88" s="18"/>
      <c r="I88" s="18"/>
      <c r="J88" s="18"/>
      <c r="K88" s="18"/>
      <c r="L88" s="18"/>
      <c r="M88" s="18"/>
      <c r="N88" s="18"/>
      <c r="O88" s="18"/>
      <c r="P88" s="18"/>
      <c r="Q88" s="18"/>
      <c r="R88" s="18"/>
      <c r="S88" s="18"/>
      <c r="T88" s="78"/>
    </row>
    <row r="91" spans="1:20" ht="12.75">
      <c r="A91" s="4" t="s">
        <v>1564</v>
      </c>
      <c r="B91" s="4"/>
      <c r="C91" s="4"/>
      <c r="D91" s="4"/>
      <c r="E91" s="4"/>
      <c r="F91" s="4"/>
      <c r="G91" s="4"/>
      <c r="H91" s="4"/>
      <c r="I91" s="4"/>
      <c r="J91" s="4"/>
      <c r="K91" s="4"/>
      <c r="L91" s="4"/>
      <c r="M91" s="4"/>
      <c r="N91" s="4"/>
      <c r="O91" s="4"/>
      <c r="P91" s="4"/>
      <c r="Q91" s="4"/>
      <c r="R91" s="4"/>
      <c r="S91" s="4"/>
      <c r="T91" s="4"/>
    </row>
    <row r="92" spans="1:20" ht="12.75">
      <c r="A92" s="233"/>
      <c r="B92" s="233"/>
      <c r="C92" s="233"/>
      <c r="D92" s="233"/>
      <c r="E92" s="233"/>
      <c r="F92" s="233"/>
      <c r="G92" s="233"/>
      <c r="H92" s="233"/>
      <c r="I92" s="233"/>
      <c r="J92" s="233"/>
      <c r="K92" s="233"/>
      <c r="L92" s="233"/>
      <c r="M92" s="233"/>
      <c r="N92" s="233"/>
      <c r="O92" s="233"/>
      <c r="P92" s="233"/>
      <c r="Q92" s="233"/>
      <c r="R92" s="233"/>
      <c r="S92" s="233"/>
      <c r="T92" s="233"/>
    </row>
    <row r="93" spans="1:20" ht="12.75">
      <c r="A93" s="318"/>
      <c r="B93" s="52" t="s">
        <v>1551</v>
      </c>
      <c r="C93" s="52"/>
      <c r="D93" s="52"/>
      <c r="E93" s="52"/>
      <c r="F93" s="2"/>
      <c r="G93" s="52" t="s">
        <v>22</v>
      </c>
      <c r="H93" s="52"/>
      <c r="I93" s="52"/>
      <c r="J93" s="52"/>
      <c r="K93" s="2"/>
      <c r="L93" s="52" t="s">
        <v>21</v>
      </c>
      <c r="M93" s="52"/>
      <c r="N93" s="52"/>
      <c r="O93" s="52"/>
      <c r="P93" s="2"/>
      <c r="Q93" s="52" t="s">
        <v>1552</v>
      </c>
      <c r="R93" s="52"/>
      <c r="S93" s="52"/>
      <c r="T93" s="52"/>
    </row>
    <row r="94" spans="1:20" ht="12.75">
      <c r="A94" s="42"/>
      <c r="B94" s="42" t="s">
        <v>1553</v>
      </c>
      <c r="C94" s="45" t="s">
        <v>1061</v>
      </c>
      <c r="D94" s="45" t="s">
        <v>974</v>
      </c>
      <c r="E94" s="7" t="s">
        <v>1554</v>
      </c>
      <c r="F94" s="45"/>
      <c r="G94" s="42" t="s">
        <v>1553</v>
      </c>
      <c r="H94" t="s">
        <v>1061</v>
      </c>
      <c r="I94" t="s">
        <v>974</v>
      </c>
      <c r="J94" s="7" t="s">
        <v>1554</v>
      </c>
      <c r="L94" s="42" t="s">
        <v>1553</v>
      </c>
      <c r="M94" t="s">
        <v>1061</v>
      </c>
      <c r="N94" t="s">
        <v>974</v>
      </c>
      <c r="O94" s="7" t="s">
        <v>1554</v>
      </c>
      <c r="Q94" s="42" t="s">
        <v>1553</v>
      </c>
      <c r="R94" s="97" t="s">
        <v>1061</v>
      </c>
      <c r="S94" t="s">
        <v>974</v>
      </c>
      <c r="T94" s="7" t="s">
        <v>1554</v>
      </c>
    </row>
    <row r="95" spans="1:20" ht="12.75">
      <c r="A95" s="42"/>
      <c r="B95" s="42">
        <v>96</v>
      </c>
      <c r="C95" s="45">
        <v>8</v>
      </c>
      <c r="D95" s="45">
        <f>B95*C95</f>
        <v>768</v>
      </c>
      <c r="E95" s="7">
        <f>E60</f>
        <v>0.02882168415654388</v>
      </c>
      <c r="F95" s="45"/>
      <c r="G95" s="42">
        <f>(36+8)/12</f>
        <v>3.6666666666666665</v>
      </c>
      <c r="H95" s="45">
        <f>(36+8)/12</f>
        <v>3.6666666666666665</v>
      </c>
      <c r="I95" s="22">
        <f>G95*H95</f>
        <v>13.444444444444443</v>
      </c>
      <c r="J95" s="7">
        <f>J60</f>
        <v>0.34</v>
      </c>
      <c r="L95" s="42"/>
      <c r="M95" s="22"/>
      <c r="N95" s="22"/>
      <c r="O95" s="7"/>
      <c r="Q95" s="42">
        <v>0</v>
      </c>
      <c r="R95" s="97">
        <v>0</v>
      </c>
      <c r="S95" s="22">
        <f>Q95*R95</f>
        <v>0</v>
      </c>
      <c r="T95" s="7">
        <f>2/1</f>
        <v>2</v>
      </c>
    </row>
    <row r="96" spans="1:20" ht="12.75">
      <c r="A96" s="42"/>
      <c r="B96" s="42">
        <v>18</v>
      </c>
      <c r="C96" s="45">
        <v>12</v>
      </c>
      <c r="D96" s="45">
        <f>B96*C96</f>
        <v>216</v>
      </c>
      <c r="E96" s="7">
        <f>E95</f>
        <v>0.02882168415654388</v>
      </c>
      <c r="F96" s="45"/>
      <c r="G96" s="42">
        <f>(36+8)/12</f>
        <v>3.6666666666666665</v>
      </c>
      <c r="H96" s="45">
        <f>(36+8)/12</f>
        <v>3.6666666666666665</v>
      </c>
      <c r="I96" s="22">
        <f>G96*H96</f>
        <v>13.444444444444443</v>
      </c>
      <c r="J96" s="7">
        <f>J95</f>
        <v>0.34</v>
      </c>
      <c r="L96" s="42"/>
      <c r="O96" s="7"/>
      <c r="Q96" s="42"/>
      <c r="R96" s="97"/>
      <c r="T96" s="7"/>
    </row>
    <row r="97" spans="1:20" ht="12.75">
      <c r="A97" s="42"/>
      <c r="B97" s="42">
        <v>16</v>
      </c>
      <c r="C97" s="45">
        <v>5</v>
      </c>
      <c r="D97" s="45">
        <f>B97*C97</f>
        <v>80</v>
      </c>
      <c r="E97" s="7">
        <f>E96</f>
        <v>0.02882168415654388</v>
      </c>
      <c r="F97" s="45"/>
      <c r="G97" s="42">
        <f>(36+8)/12</f>
        <v>3.6666666666666665</v>
      </c>
      <c r="H97" s="45">
        <f>(36+8)/12</f>
        <v>3.6666666666666665</v>
      </c>
      <c r="I97" s="22">
        <f>G97*H97</f>
        <v>13.444444444444443</v>
      </c>
      <c r="J97" s="7">
        <f>J96</f>
        <v>0.34</v>
      </c>
      <c r="L97" s="42"/>
      <c r="O97" s="7"/>
      <c r="Q97" s="42"/>
      <c r="R97" s="97"/>
      <c r="T97" s="7"/>
    </row>
    <row r="98" spans="1:20" ht="12.75">
      <c r="A98" s="42"/>
      <c r="B98" s="42">
        <v>16</v>
      </c>
      <c r="C98" s="45">
        <v>5</v>
      </c>
      <c r="D98" s="45">
        <f>B98*C98</f>
        <v>80</v>
      </c>
      <c r="E98" s="7">
        <f>E97</f>
        <v>0.02882168415654388</v>
      </c>
      <c r="F98" s="45"/>
      <c r="G98" s="42">
        <f>(36+8)/12</f>
        <v>3.6666666666666665</v>
      </c>
      <c r="H98" s="45">
        <f>(36+8)/12</f>
        <v>3.6666666666666665</v>
      </c>
      <c r="I98" s="22">
        <f>G98*H98</f>
        <v>13.444444444444443</v>
      </c>
      <c r="J98" s="7">
        <f>J97</f>
        <v>0.34</v>
      </c>
      <c r="L98" s="42"/>
      <c r="O98" s="7"/>
      <c r="Q98" s="42"/>
      <c r="R98" s="97"/>
      <c r="T98" s="7"/>
    </row>
    <row r="99" spans="1:20" ht="12.75">
      <c r="A99" s="42"/>
      <c r="B99" s="42"/>
      <c r="C99" s="45"/>
      <c r="D99" s="45"/>
      <c r="E99" s="7"/>
      <c r="F99" s="45"/>
      <c r="G99" s="42">
        <f>(36+8)/12</f>
        <v>3.6666666666666665</v>
      </c>
      <c r="H99" s="45">
        <f>(36+8)/12</f>
        <v>3.6666666666666665</v>
      </c>
      <c r="I99" s="22">
        <f>G99*H99</f>
        <v>13.444444444444443</v>
      </c>
      <c r="J99" s="7">
        <f>J98</f>
        <v>0.34</v>
      </c>
      <c r="L99" s="42"/>
      <c r="O99" s="7"/>
      <c r="Q99" s="42"/>
      <c r="R99" s="97"/>
      <c r="T99" s="7"/>
    </row>
    <row r="100" spans="1:20" ht="12.75">
      <c r="A100" s="42"/>
      <c r="B100" s="42"/>
      <c r="C100" s="45"/>
      <c r="D100" s="45"/>
      <c r="E100" s="7"/>
      <c r="F100" s="45"/>
      <c r="G100" s="42">
        <f>(36+8)/12</f>
        <v>3.6666666666666665</v>
      </c>
      <c r="H100" s="45">
        <f>(36+8)/12</f>
        <v>3.6666666666666665</v>
      </c>
      <c r="I100" s="22">
        <f>G100*H100</f>
        <v>13.444444444444443</v>
      </c>
      <c r="J100" s="7">
        <f>J99</f>
        <v>0.34</v>
      </c>
      <c r="L100" s="42"/>
      <c r="O100" s="7"/>
      <c r="Q100" s="42"/>
      <c r="R100" s="97"/>
      <c r="T100" s="7"/>
    </row>
    <row r="101" spans="1:20" ht="12.75">
      <c r="A101" s="42"/>
      <c r="B101" s="42"/>
      <c r="E101" s="7"/>
      <c r="G101" s="42">
        <f>(36+8)/12</f>
        <v>3.6666666666666665</v>
      </c>
      <c r="H101" s="45">
        <f>(36+8)/12</f>
        <v>3.6666666666666665</v>
      </c>
      <c r="I101" s="22">
        <f>G101*H101</f>
        <v>13.444444444444443</v>
      </c>
      <c r="J101" s="7">
        <f>J100</f>
        <v>0.34</v>
      </c>
      <c r="L101" s="42"/>
      <c r="O101" s="7"/>
      <c r="Q101" s="42"/>
      <c r="R101" s="97"/>
      <c r="T101" s="7"/>
    </row>
    <row r="102" spans="1:20" ht="12.75">
      <c r="A102" s="42"/>
      <c r="B102" s="42"/>
      <c r="E102" s="7"/>
      <c r="G102" s="42">
        <f>(36+8)/12</f>
        <v>3.6666666666666665</v>
      </c>
      <c r="H102" s="45">
        <f>(36+8)/12</f>
        <v>3.6666666666666665</v>
      </c>
      <c r="I102" s="22">
        <f>G102*H102</f>
        <v>13.444444444444443</v>
      </c>
      <c r="J102" s="7">
        <f>J101</f>
        <v>0.34</v>
      </c>
      <c r="L102" s="42"/>
      <c r="O102" s="7"/>
      <c r="Q102" s="42"/>
      <c r="R102" s="97"/>
      <c r="T102" s="7"/>
    </row>
    <row r="103" spans="1:20" ht="12.75">
      <c r="A103" s="42"/>
      <c r="B103" s="42"/>
      <c r="E103" s="7"/>
      <c r="G103" s="42">
        <v>12</v>
      </c>
      <c r="H103" s="22">
        <f>80/12</f>
        <v>6.666666666666667</v>
      </c>
      <c r="I103" s="22">
        <f>G103*H103</f>
        <v>80</v>
      </c>
      <c r="J103" s="7">
        <f>J102</f>
        <v>0.34</v>
      </c>
      <c r="L103" s="42"/>
      <c r="O103" s="7"/>
      <c r="Q103" s="42"/>
      <c r="R103" s="97"/>
      <c r="T103" s="7"/>
    </row>
    <row r="104" spans="1:20" ht="12.75">
      <c r="A104" s="42"/>
      <c r="B104" s="42"/>
      <c r="E104" s="7"/>
      <c r="G104" s="42">
        <v>12</v>
      </c>
      <c r="H104" s="22">
        <f>80/12</f>
        <v>6.666666666666667</v>
      </c>
      <c r="I104" s="22">
        <f>G104*H104</f>
        <v>80</v>
      </c>
      <c r="J104" s="7">
        <f>J103</f>
        <v>0.34</v>
      </c>
      <c r="L104" s="42"/>
      <c r="O104" s="7"/>
      <c r="Q104" s="42"/>
      <c r="R104" s="97"/>
      <c r="T104" s="7"/>
    </row>
    <row r="105" spans="1:20" ht="12.75">
      <c r="A105" s="42"/>
      <c r="B105" s="42"/>
      <c r="E105" s="7"/>
      <c r="G105" s="42">
        <v>6</v>
      </c>
      <c r="H105" s="22">
        <f>80/12</f>
        <v>6.666666666666667</v>
      </c>
      <c r="I105" s="22">
        <f>G105*H105</f>
        <v>40</v>
      </c>
      <c r="J105" s="7">
        <f>J104</f>
        <v>0.34</v>
      </c>
      <c r="L105" s="42"/>
      <c r="O105" s="7"/>
      <c r="Q105" s="42"/>
      <c r="R105" s="97"/>
      <c r="T105" s="7"/>
    </row>
    <row r="106" spans="1:20" ht="12.75">
      <c r="A106" s="42"/>
      <c r="B106" s="42"/>
      <c r="E106" s="7"/>
      <c r="G106" s="42">
        <v>6</v>
      </c>
      <c r="H106" s="22">
        <f>80/12</f>
        <v>6.666666666666667</v>
      </c>
      <c r="I106" s="22">
        <f>G106*H106</f>
        <v>40</v>
      </c>
      <c r="J106" s="7">
        <f>J105</f>
        <v>0.34</v>
      </c>
      <c r="L106" s="42"/>
      <c r="O106" s="7"/>
      <c r="Q106" s="42"/>
      <c r="R106" s="97"/>
      <c r="T106" s="7"/>
    </row>
    <row r="107" spans="1:20" ht="12.75">
      <c r="A107" s="42"/>
      <c r="B107" s="42"/>
      <c r="E107" s="7"/>
      <c r="G107" s="42">
        <f>(36+5)/12</f>
        <v>3.4166666666666665</v>
      </c>
      <c r="H107">
        <v>5</v>
      </c>
      <c r="I107" s="22">
        <f>G107*H107</f>
        <v>17.083333333333332</v>
      </c>
      <c r="J107" s="7">
        <f>J106</f>
        <v>0.34</v>
      </c>
      <c r="L107" s="42"/>
      <c r="O107" s="7"/>
      <c r="Q107" s="42"/>
      <c r="R107" s="97"/>
      <c r="T107" s="7"/>
    </row>
    <row r="108" spans="1:20" ht="12.75">
      <c r="A108" s="42"/>
      <c r="B108" s="42"/>
      <c r="E108" s="7"/>
      <c r="G108" s="42">
        <f>(36+5)/12</f>
        <v>3.4166666666666665</v>
      </c>
      <c r="H108">
        <v>5</v>
      </c>
      <c r="I108" s="22">
        <f>G108*H108</f>
        <v>17.083333333333332</v>
      </c>
      <c r="J108" s="7">
        <f>J107</f>
        <v>0.34</v>
      </c>
      <c r="L108" s="42"/>
      <c r="O108" s="7"/>
      <c r="Q108" s="42"/>
      <c r="R108" s="97"/>
      <c r="T108" s="7"/>
    </row>
    <row r="109" spans="1:20" ht="12.75">
      <c r="A109" s="42"/>
      <c r="B109" s="42"/>
      <c r="E109" s="7"/>
      <c r="G109" s="42">
        <f>(36+5)/12</f>
        <v>3.4166666666666665</v>
      </c>
      <c r="H109">
        <v>5</v>
      </c>
      <c r="I109" s="22">
        <f>G109*H109</f>
        <v>17.083333333333332</v>
      </c>
      <c r="J109" s="7">
        <f>J108</f>
        <v>0.34</v>
      </c>
      <c r="L109" s="42"/>
      <c r="O109" s="7"/>
      <c r="Q109" s="42"/>
      <c r="R109" s="97"/>
      <c r="T109" s="7"/>
    </row>
    <row r="110" spans="1:20" ht="12.75">
      <c r="A110" s="42"/>
      <c r="B110" s="42"/>
      <c r="C110" s="97"/>
      <c r="D110" s="97"/>
      <c r="E110" s="7"/>
      <c r="G110" s="42">
        <f>(36+5)/12</f>
        <v>3.4166666666666665</v>
      </c>
      <c r="H110">
        <v>5</v>
      </c>
      <c r="I110" s="22">
        <f>G110*H110</f>
        <v>17.083333333333332</v>
      </c>
      <c r="J110" s="7">
        <f>J109</f>
        <v>0.34</v>
      </c>
      <c r="L110" s="42"/>
      <c r="O110" s="7"/>
      <c r="Q110" s="42"/>
      <c r="R110" s="97"/>
      <c r="T110" s="7"/>
    </row>
    <row r="111" spans="1:20" ht="12.75">
      <c r="A111" s="319" t="s">
        <v>1555</v>
      </c>
      <c r="B111" s="319">
        <f>SUM(B95:B110)</f>
        <v>146</v>
      </c>
      <c r="C111" s="320">
        <f>SUM(C95:C110)</f>
        <v>30</v>
      </c>
      <c r="D111" s="320">
        <f>SUM(D95:D110)</f>
        <v>1144</v>
      </c>
      <c r="E111" s="321" t="s">
        <v>242</v>
      </c>
      <c r="F111" s="320"/>
      <c r="G111" s="319">
        <f>SUM(G95:G110)</f>
        <v>79.00000000000003</v>
      </c>
      <c r="H111" s="320">
        <f>SUM(H95:H110)</f>
        <v>76</v>
      </c>
      <c r="I111" s="320">
        <f>SUM(I95:I110)</f>
        <v>415.8888888888888</v>
      </c>
      <c r="J111" s="321" t="s">
        <v>242</v>
      </c>
      <c r="K111" s="320"/>
      <c r="L111" s="319">
        <f>SUM(L95:L110)</f>
        <v>0</v>
      </c>
      <c r="M111" s="320">
        <f>SUM(M95:M110)</f>
        <v>0</v>
      </c>
      <c r="N111" s="320">
        <f>SUM(N95:N110)</f>
        <v>0</v>
      </c>
      <c r="O111" s="321" t="s">
        <v>242</v>
      </c>
      <c r="P111" s="320"/>
      <c r="Q111" s="319">
        <f>SUM(Q95:Q110)</f>
        <v>0</v>
      </c>
      <c r="R111" s="320">
        <f>SUM(R95:R110)</f>
        <v>0</v>
      </c>
      <c r="S111" s="320">
        <f>SUM(S95:S110)</f>
        <v>0</v>
      </c>
      <c r="T111" s="321" t="s">
        <v>242</v>
      </c>
    </row>
    <row r="112" spans="1:20" ht="12.75">
      <c r="A112" s="42"/>
      <c r="B112" s="97"/>
      <c r="C112" s="97"/>
      <c r="D112" s="97"/>
      <c r="E112" s="97"/>
      <c r="G112" s="97"/>
      <c r="H112" s="97"/>
      <c r="I112" s="97"/>
      <c r="J112" s="97"/>
      <c r="L112" s="97"/>
      <c r="M112" s="97"/>
      <c r="N112" s="97"/>
      <c r="O112" s="97"/>
      <c r="Q112" s="97"/>
      <c r="R112" s="97"/>
      <c r="S112" s="97"/>
      <c r="T112" s="7"/>
    </row>
    <row r="113" spans="1:20" ht="12.75">
      <c r="A113" s="52" t="s">
        <v>1565</v>
      </c>
      <c r="B113" s="52"/>
      <c r="C113" s="52"/>
      <c r="D113" s="52"/>
      <c r="G113" s="45" t="s">
        <v>1557</v>
      </c>
      <c r="I113" s="95">
        <f>B117/3600</f>
        <v>0.11552469135802466</v>
      </c>
      <c r="O113" s="97"/>
      <c r="T113" s="7"/>
    </row>
    <row r="114" spans="1:20" ht="12.75">
      <c r="A114" s="42" t="s">
        <v>1558</v>
      </c>
      <c r="B114" s="97" t="s">
        <v>1229</v>
      </c>
      <c r="C114" t="s">
        <v>1554</v>
      </c>
      <c r="D114" s="7" t="s">
        <v>1559</v>
      </c>
      <c r="O114" s="97"/>
      <c r="T114" s="7"/>
    </row>
    <row r="115" spans="1:20" ht="12.75">
      <c r="A115" s="42" t="s">
        <v>1560</v>
      </c>
      <c r="B115" s="97">
        <f>D111</f>
        <v>1144</v>
      </c>
      <c r="D115" s="7"/>
      <c r="O115" s="97"/>
      <c r="T115" s="7"/>
    </row>
    <row r="116" spans="1:20" ht="12.75">
      <c r="A116" s="42" t="s">
        <v>1551</v>
      </c>
      <c r="B116" s="97">
        <f>B115-B117-B118-B119</f>
        <v>728.1111111111112</v>
      </c>
      <c r="C116" s="22">
        <f>E95</f>
        <v>0.02882168415654388</v>
      </c>
      <c r="D116" s="7">
        <f>B116*C116</f>
        <v>20.985388475314675</v>
      </c>
      <c r="E116">
        <v>24</v>
      </c>
      <c r="O116" s="97"/>
      <c r="T116" s="7"/>
    </row>
    <row r="117" spans="1:20" ht="12.75">
      <c r="A117" s="42" t="s">
        <v>1117</v>
      </c>
      <c r="B117" s="97">
        <f>I111</f>
        <v>415.8888888888888</v>
      </c>
      <c r="C117" s="22">
        <f>J95</f>
        <v>0.34</v>
      </c>
      <c r="D117" s="7">
        <f>B117*C117</f>
        <v>141.4022222222222</v>
      </c>
      <c r="E117">
        <v>141</v>
      </c>
      <c r="O117" s="97"/>
      <c r="T117" s="7"/>
    </row>
    <row r="118" spans="1:20" ht="12.75">
      <c r="A118" s="42" t="s">
        <v>21</v>
      </c>
      <c r="B118" s="97">
        <f>N111</f>
        <v>0</v>
      </c>
      <c r="C118" s="22">
        <f>O95</f>
        <v>0</v>
      </c>
      <c r="D118" s="7">
        <f>B118*C118</f>
        <v>0</v>
      </c>
      <c r="O118" s="97"/>
      <c r="T118" s="7"/>
    </row>
    <row r="119" spans="1:20" ht="12.75">
      <c r="A119" s="42" t="s">
        <v>1552</v>
      </c>
      <c r="B119" s="97">
        <f>S111</f>
        <v>0</v>
      </c>
      <c r="C119" s="22">
        <f>T95</f>
        <v>2</v>
      </c>
      <c r="D119" s="7">
        <f>B119*C119</f>
        <v>0</v>
      </c>
      <c r="O119" s="97"/>
      <c r="T119" s="7"/>
    </row>
    <row r="120" spans="1:20" ht="12.75">
      <c r="A120" s="42" t="s">
        <v>1561</v>
      </c>
      <c r="B120" s="322">
        <f>B117/B116</f>
        <v>0.5711887685029755</v>
      </c>
      <c r="D120" s="7"/>
      <c r="O120" s="97"/>
      <c r="T120" s="7"/>
    </row>
    <row r="121" spans="1:20" ht="12.75">
      <c r="A121" s="77" t="s">
        <v>1555</v>
      </c>
      <c r="B121" s="18"/>
      <c r="C121" s="18"/>
      <c r="D121" s="78">
        <f>SUM(D116:D119)</f>
        <v>162.38761069753687</v>
      </c>
      <c r="E121">
        <v>165</v>
      </c>
      <c r="O121" s="97"/>
      <c r="T121" s="7"/>
    </row>
    <row r="122" spans="1:20" ht="12.75">
      <c r="A122" s="77"/>
      <c r="B122" s="18"/>
      <c r="C122" s="18"/>
      <c r="D122" s="78"/>
      <c r="O122" s="97"/>
      <c r="T122" s="7"/>
    </row>
    <row r="123" spans="1:20" ht="12.75">
      <c r="A123" s="77" t="s">
        <v>1562</v>
      </c>
      <c r="B123" s="17">
        <f>D121/B115</f>
        <v>0.14194721214819656</v>
      </c>
      <c r="C123" s="77" t="s">
        <v>1563</v>
      </c>
      <c r="D123" s="17">
        <f>1/B123</f>
        <v>7.044872420290821</v>
      </c>
      <c r="E123" s="18">
        <v>6.9</v>
      </c>
      <c r="F123" s="18"/>
      <c r="G123" s="18"/>
      <c r="H123" s="18"/>
      <c r="I123" s="18"/>
      <c r="J123" s="18"/>
      <c r="K123" s="18"/>
      <c r="L123" s="18"/>
      <c r="M123" s="18"/>
      <c r="N123" s="18"/>
      <c r="O123" s="18"/>
      <c r="P123" s="18"/>
      <c r="Q123" s="18"/>
      <c r="R123" s="18"/>
      <c r="S123" s="18"/>
      <c r="T123" s="78"/>
    </row>
    <row r="126" spans="1:20" ht="12.75">
      <c r="A126" s="4" t="s">
        <v>1566</v>
      </c>
      <c r="B126" s="4"/>
      <c r="C126" s="4"/>
      <c r="D126" s="4"/>
      <c r="E126" s="4"/>
      <c r="F126" s="4"/>
      <c r="G126" s="4"/>
      <c r="H126" s="4"/>
      <c r="I126" s="4"/>
      <c r="J126" s="4"/>
      <c r="K126" s="4"/>
      <c r="L126" s="4"/>
      <c r="M126" s="4"/>
      <c r="N126" s="4"/>
      <c r="O126" s="4"/>
      <c r="P126" s="4"/>
      <c r="Q126" s="4"/>
      <c r="R126" s="4"/>
      <c r="S126" s="4"/>
      <c r="T126" s="4"/>
    </row>
    <row r="127" spans="1:20" ht="12.75">
      <c r="A127" s="233"/>
      <c r="B127" s="233"/>
      <c r="C127" s="233"/>
      <c r="D127" s="233"/>
      <c r="E127" s="233"/>
      <c r="F127" s="233"/>
      <c r="G127" s="233"/>
      <c r="H127" s="233"/>
      <c r="I127" s="233"/>
      <c r="J127" s="233"/>
      <c r="K127" s="233"/>
      <c r="L127" s="233"/>
      <c r="M127" s="233"/>
      <c r="N127" s="233"/>
      <c r="O127" s="233"/>
      <c r="P127" s="233"/>
      <c r="Q127" s="233"/>
      <c r="R127" s="233"/>
      <c r="S127" s="233"/>
      <c r="T127" s="233"/>
    </row>
    <row r="128" spans="1:20" ht="12.75">
      <c r="A128" s="318"/>
      <c r="B128" s="52" t="s">
        <v>1551</v>
      </c>
      <c r="C128" s="52"/>
      <c r="D128" s="52"/>
      <c r="E128" s="52"/>
      <c r="F128" s="2"/>
      <c r="G128" s="52" t="s">
        <v>22</v>
      </c>
      <c r="H128" s="52"/>
      <c r="I128" s="52"/>
      <c r="J128" s="52"/>
      <c r="K128" s="2"/>
      <c r="L128" s="52" t="s">
        <v>21</v>
      </c>
      <c r="M128" s="52"/>
      <c r="N128" s="52"/>
      <c r="O128" s="52"/>
      <c r="P128" s="2"/>
      <c r="Q128" s="52" t="s">
        <v>1552</v>
      </c>
      <c r="R128" s="52"/>
      <c r="S128" s="52"/>
      <c r="T128" s="52"/>
    </row>
    <row r="129" spans="1:20" ht="12.75">
      <c r="A129" s="42"/>
      <c r="B129" s="42" t="s">
        <v>1553</v>
      </c>
      <c r="C129" s="45" t="s">
        <v>1061</v>
      </c>
      <c r="D129" s="45" t="s">
        <v>974</v>
      </c>
      <c r="E129" s="7" t="s">
        <v>1554</v>
      </c>
      <c r="F129" s="45"/>
      <c r="G129" s="42" t="s">
        <v>1553</v>
      </c>
      <c r="H129" t="s">
        <v>1061</v>
      </c>
      <c r="I129" t="s">
        <v>974</v>
      </c>
      <c r="J129" s="7" t="s">
        <v>1554</v>
      </c>
      <c r="L129" s="42" t="s">
        <v>1553</v>
      </c>
      <c r="M129" t="s">
        <v>1061</v>
      </c>
      <c r="N129" t="s">
        <v>974</v>
      </c>
      <c r="O129" s="7" t="s">
        <v>1554</v>
      </c>
      <c r="Q129" s="42" t="s">
        <v>1553</v>
      </c>
      <c r="R129" s="97" t="s">
        <v>1061</v>
      </c>
      <c r="S129" t="s">
        <v>974</v>
      </c>
      <c r="T129" s="7" t="s">
        <v>1554</v>
      </c>
    </row>
    <row r="130" spans="1:20" ht="12.75">
      <c r="A130" s="42"/>
      <c r="B130" s="42">
        <v>52</v>
      </c>
      <c r="C130" s="45">
        <v>8</v>
      </c>
      <c r="D130" s="45">
        <f>B130*C130</f>
        <v>416</v>
      </c>
      <c r="E130" s="7">
        <f>E95</f>
        <v>0.02882168415654388</v>
      </c>
      <c r="F130" s="45"/>
      <c r="G130" s="42">
        <f>(36+8)/12</f>
        <v>3.6666666666666665</v>
      </c>
      <c r="H130" s="45">
        <f>(36+8)/12</f>
        <v>3.6666666666666665</v>
      </c>
      <c r="I130" s="22">
        <f>G130*H130</f>
        <v>13.444444444444443</v>
      </c>
      <c r="J130" s="7">
        <f>J95</f>
        <v>0.34</v>
      </c>
      <c r="L130" s="42"/>
      <c r="M130" s="22"/>
      <c r="N130" s="22"/>
      <c r="O130" s="7"/>
      <c r="Q130" s="42">
        <v>0</v>
      </c>
      <c r="R130" s="97">
        <v>0</v>
      </c>
      <c r="S130" s="22">
        <f>Q130*R130</f>
        <v>0</v>
      </c>
      <c r="T130" s="7">
        <f>2/1</f>
        <v>2</v>
      </c>
    </row>
    <row r="131" spans="1:20" ht="12.75">
      <c r="A131" s="42"/>
      <c r="B131" s="42">
        <v>18</v>
      </c>
      <c r="C131" s="45">
        <v>12</v>
      </c>
      <c r="D131" s="45">
        <f>B131*C131</f>
        <v>216</v>
      </c>
      <c r="E131" s="7">
        <f>E130</f>
        <v>0.02882168415654388</v>
      </c>
      <c r="F131" s="45"/>
      <c r="G131" s="42">
        <f>(36+8)/12</f>
        <v>3.6666666666666665</v>
      </c>
      <c r="H131" s="45">
        <f>(36+8)/12</f>
        <v>3.6666666666666665</v>
      </c>
      <c r="I131" s="22">
        <f>G131*H131</f>
        <v>13.444444444444443</v>
      </c>
      <c r="J131" s="7">
        <f>J130</f>
        <v>0.34</v>
      </c>
      <c r="L131" s="42"/>
      <c r="O131" s="7"/>
      <c r="Q131" s="42"/>
      <c r="R131" s="97"/>
      <c r="T131" s="7"/>
    </row>
    <row r="132" spans="1:20" ht="12.75">
      <c r="A132" s="42"/>
      <c r="B132" s="42"/>
      <c r="C132" s="45"/>
      <c r="D132" s="45"/>
      <c r="E132" s="7"/>
      <c r="F132" s="45"/>
      <c r="G132" s="42">
        <f>(36+8)/12</f>
        <v>3.6666666666666665</v>
      </c>
      <c r="H132" s="45">
        <f>(36+8)/12</f>
        <v>3.6666666666666665</v>
      </c>
      <c r="I132" s="22">
        <f>G132*H132</f>
        <v>13.444444444444443</v>
      </c>
      <c r="J132" s="7">
        <f>J131</f>
        <v>0.34</v>
      </c>
      <c r="L132" s="42"/>
      <c r="O132" s="7"/>
      <c r="Q132" s="42"/>
      <c r="R132" s="97"/>
      <c r="T132" s="7"/>
    </row>
    <row r="133" spans="1:20" ht="12.75">
      <c r="A133" s="42"/>
      <c r="B133" s="42"/>
      <c r="C133" s="45"/>
      <c r="D133" s="45"/>
      <c r="E133" s="7"/>
      <c r="F133" s="45"/>
      <c r="G133" s="42">
        <f>(36+8)/12</f>
        <v>3.6666666666666665</v>
      </c>
      <c r="H133" s="45">
        <f>(36+8)/12</f>
        <v>3.6666666666666665</v>
      </c>
      <c r="I133" s="22">
        <f>G133*H133</f>
        <v>13.444444444444443</v>
      </c>
      <c r="J133" s="7">
        <f>J132</f>
        <v>0.34</v>
      </c>
      <c r="L133" s="42"/>
      <c r="O133" s="7"/>
      <c r="Q133" s="42"/>
      <c r="R133" s="97"/>
      <c r="T133" s="7"/>
    </row>
    <row r="134" spans="1:20" ht="12.75">
      <c r="A134" s="42"/>
      <c r="B134" s="42"/>
      <c r="C134" s="45"/>
      <c r="D134" s="45"/>
      <c r="E134" s="7"/>
      <c r="F134" s="45"/>
      <c r="G134" s="42">
        <f>(36+8)/12</f>
        <v>3.6666666666666665</v>
      </c>
      <c r="H134" s="45">
        <f>(36+8)/12</f>
        <v>3.6666666666666665</v>
      </c>
      <c r="I134" s="22">
        <f>G134*H134</f>
        <v>13.444444444444443</v>
      </c>
      <c r="J134" s="7">
        <f>J133</f>
        <v>0.34</v>
      </c>
      <c r="L134" s="42"/>
      <c r="O134" s="7"/>
      <c r="Q134" s="42"/>
      <c r="R134" s="97"/>
      <c r="T134" s="7"/>
    </row>
    <row r="135" spans="1:20" ht="12.75">
      <c r="A135" s="42"/>
      <c r="B135" s="42"/>
      <c r="C135" s="45"/>
      <c r="D135" s="45"/>
      <c r="E135" s="7"/>
      <c r="F135" s="45"/>
      <c r="G135" s="42"/>
      <c r="H135" s="45"/>
      <c r="I135" s="22"/>
      <c r="J135" s="7"/>
      <c r="L135" s="42"/>
      <c r="O135" s="7"/>
      <c r="Q135" s="42"/>
      <c r="R135" s="97"/>
      <c r="T135" s="7"/>
    </row>
    <row r="136" spans="1:20" ht="12.75">
      <c r="A136" s="42"/>
      <c r="B136" s="42"/>
      <c r="E136" s="7"/>
      <c r="G136" s="42"/>
      <c r="H136" s="45"/>
      <c r="I136" s="22"/>
      <c r="J136" s="7"/>
      <c r="L136" s="42"/>
      <c r="O136" s="7"/>
      <c r="Q136" s="42"/>
      <c r="R136" s="97"/>
      <c r="T136" s="7"/>
    </row>
    <row r="137" spans="1:20" ht="12.75">
      <c r="A137" s="42"/>
      <c r="B137" s="42"/>
      <c r="E137" s="7"/>
      <c r="G137" s="42"/>
      <c r="H137" s="45"/>
      <c r="I137" s="22"/>
      <c r="J137" s="7"/>
      <c r="L137" s="42"/>
      <c r="O137" s="7"/>
      <c r="Q137" s="42"/>
      <c r="R137" s="97"/>
      <c r="T137" s="7"/>
    </row>
    <row r="138" spans="1:20" ht="12.75">
      <c r="A138" s="42"/>
      <c r="B138" s="42"/>
      <c r="E138" s="7"/>
      <c r="G138" s="42"/>
      <c r="H138" s="22"/>
      <c r="I138" s="22"/>
      <c r="J138" s="7"/>
      <c r="L138" s="42"/>
      <c r="O138" s="7"/>
      <c r="Q138" s="42"/>
      <c r="R138" s="97"/>
      <c r="T138" s="7"/>
    </row>
    <row r="139" spans="1:20" ht="12.75">
      <c r="A139" s="42"/>
      <c r="B139" s="42"/>
      <c r="E139" s="7"/>
      <c r="G139" s="42"/>
      <c r="H139" s="22"/>
      <c r="I139" s="22"/>
      <c r="J139" s="7"/>
      <c r="L139" s="42"/>
      <c r="O139" s="7"/>
      <c r="Q139" s="42"/>
      <c r="R139" s="97"/>
      <c r="T139" s="7"/>
    </row>
    <row r="140" spans="1:20" ht="12.75">
      <c r="A140" s="42"/>
      <c r="B140" s="42"/>
      <c r="E140" s="7"/>
      <c r="G140" s="42"/>
      <c r="H140" s="22"/>
      <c r="I140" s="22"/>
      <c r="J140" s="7"/>
      <c r="L140" s="42"/>
      <c r="O140" s="7"/>
      <c r="Q140" s="42"/>
      <c r="R140" s="97"/>
      <c r="T140" s="7"/>
    </row>
    <row r="141" spans="1:20" ht="12.75">
      <c r="A141" s="42"/>
      <c r="B141" s="42"/>
      <c r="E141" s="7"/>
      <c r="G141" s="42"/>
      <c r="H141" s="22"/>
      <c r="I141" s="22"/>
      <c r="J141" s="7"/>
      <c r="L141" s="42"/>
      <c r="O141" s="7"/>
      <c r="Q141" s="42"/>
      <c r="R141" s="97"/>
      <c r="T141" s="7"/>
    </row>
    <row r="142" spans="1:20" ht="12.75">
      <c r="A142" s="42"/>
      <c r="B142" s="42"/>
      <c r="E142" s="7"/>
      <c r="G142" s="42"/>
      <c r="I142" s="22"/>
      <c r="J142" s="7"/>
      <c r="L142" s="42"/>
      <c r="O142" s="7"/>
      <c r="Q142" s="42"/>
      <c r="R142" s="97"/>
      <c r="T142" s="7"/>
    </row>
    <row r="143" spans="1:20" ht="12.75">
      <c r="A143" s="42"/>
      <c r="B143" s="42"/>
      <c r="E143" s="7"/>
      <c r="G143" s="42"/>
      <c r="I143" s="22"/>
      <c r="J143" s="7"/>
      <c r="L143" s="42"/>
      <c r="O143" s="7"/>
      <c r="Q143" s="42"/>
      <c r="R143" s="97"/>
      <c r="T143" s="7"/>
    </row>
    <row r="144" spans="1:20" ht="12.75">
      <c r="A144" s="42"/>
      <c r="B144" s="42"/>
      <c r="E144" s="7"/>
      <c r="G144" s="42"/>
      <c r="I144" s="22"/>
      <c r="J144" s="7"/>
      <c r="L144" s="42"/>
      <c r="O144" s="7"/>
      <c r="Q144" s="42"/>
      <c r="R144" s="97"/>
      <c r="T144" s="7"/>
    </row>
    <row r="145" spans="1:20" ht="12.75">
      <c r="A145" s="42"/>
      <c r="B145" s="42"/>
      <c r="C145" s="97"/>
      <c r="D145" s="97"/>
      <c r="E145" s="7"/>
      <c r="G145" s="42"/>
      <c r="I145" s="22"/>
      <c r="J145" s="7"/>
      <c r="L145" s="42"/>
      <c r="O145" s="7"/>
      <c r="Q145" s="42"/>
      <c r="R145" s="97"/>
      <c r="T145" s="7"/>
    </row>
    <row r="146" spans="1:20" ht="12.75">
      <c r="A146" s="319" t="s">
        <v>1555</v>
      </c>
      <c r="B146" s="319">
        <f>SUM(B130:B145)</f>
        <v>70</v>
      </c>
      <c r="C146" s="320">
        <f>SUM(C130:C145)</f>
        <v>20</v>
      </c>
      <c r="D146" s="320">
        <f>SUM(D130:D145)</f>
        <v>632</v>
      </c>
      <c r="E146" s="321" t="s">
        <v>242</v>
      </c>
      <c r="F146" s="320"/>
      <c r="G146" s="319">
        <f>SUM(G130:G145)</f>
        <v>18.333333333333332</v>
      </c>
      <c r="H146" s="320">
        <f>SUM(H130:H145)</f>
        <v>18.333333333333332</v>
      </c>
      <c r="I146" s="320">
        <f>SUM(I130:I145)</f>
        <v>67.22222222222221</v>
      </c>
      <c r="J146" s="321" t="s">
        <v>242</v>
      </c>
      <c r="K146" s="320"/>
      <c r="L146" s="319">
        <f>SUM(L130:L145)</f>
        <v>0</v>
      </c>
      <c r="M146" s="320">
        <f>SUM(M130:M145)</f>
        <v>0</v>
      </c>
      <c r="N146" s="320">
        <f>SUM(N130:N145)</f>
        <v>0</v>
      </c>
      <c r="O146" s="321" t="s">
        <v>242</v>
      </c>
      <c r="P146" s="320"/>
      <c r="Q146" s="319">
        <f>SUM(Q130:Q145)</f>
        <v>0</v>
      </c>
      <c r="R146" s="320">
        <f>SUM(R130:R145)</f>
        <v>0</v>
      </c>
      <c r="S146" s="320">
        <f>SUM(S130:S145)</f>
        <v>0</v>
      </c>
      <c r="T146" s="321" t="s">
        <v>242</v>
      </c>
    </row>
    <row r="147" spans="1:20" ht="12.75">
      <c r="A147" s="42"/>
      <c r="B147" s="97"/>
      <c r="C147" s="97"/>
      <c r="D147" s="97"/>
      <c r="E147" s="97"/>
      <c r="G147" s="97"/>
      <c r="H147" s="97"/>
      <c r="I147" s="97"/>
      <c r="J147" s="97"/>
      <c r="L147" s="97"/>
      <c r="M147" s="97"/>
      <c r="N147" s="97"/>
      <c r="O147" s="97"/>
      <c r="Q147" s="97"/>
      <c r="R147" s="97"/>
      <c r="S147" s="97"/>
      <c r="T147" s="7"/>
    </row>
    <row r="148" spans="1:20" ht="12.75">
      <c r="A148" s="52" t="s">
        <v>1567</v>
      </c>
      <c r="B148" s="52"/>
      <c r="C148" s="52"/>
      <c r="D148" s="52"/>
      <c r="G148" t="s">
        <v>1557</v>
      </c>
      <c r="I148" s="95">
        <f>B152/3600</f>
        <v>0.018672839506172836</v>
      </c>
      <c r="O148" s="97"/>
      <c r="T148" s="7"/>
    </row>
    <row r="149" spans="1:20" ht="12.75">
      <c r="A149" s="42" t="s">
        <v>1558</v>
      </c>
      <c r="B149" s="97" t="s">
        <v>1229</v>
      </c>
      <c r="C149" t="s">
        <v>1554</v>
      </c>
      <c r="D149" s="7" t="s">
        <v>1559</v>
      </c>
      <c r="O149" s="97"/>
      <c r="T149" s="7"/>
    </row>
    <row r="150" spans="1:20" ht="12.75">
      <c r="A150" s="42" t="s">
        <v>1560</v>
      </c>
      <c r="B150" s="97">
        <f>D146</f>
        <v>632</v>
      </c>
      <c r="D150" s="7"/>
      <c r="O150" s="97"/>
      <c r="T150" s="7"/>
    </row>
    <row r="151" spans="1:20" ht="12.75">
      <c r="A151" s="42" t="s">
        <v>1551</v>
      </c>
      <c r="B151" s="97">
        <f>B150-B152-B153-B154</f>
        <v>564.7777777777778</v>
      </c>
      <c r="C151" s="22">
        <f>E130</f>
        <v>0.02882168415654388</v>
      </c>
      <c r="D151" s="7">
        <f>B151*C151</f>
        <v>16.27784672974584</v>
      </c>
      <c r="O151" s="97"/>
      <c r="T151" s="7"/>
    </row>
    <row r="152" spans="1:20" ht="12.75">
      <c r="A152" s="42" t="s">
        <v>1117</v>
      </c>
      <c r="B152" s="97">
        <f>I146</f>
        <v>67.22222222222221</v>
      </c>
      <c r="C152" s="22">
        <f>J130</f>
        <v>0.34</v>
      </c>
      <c r="D152" s="7">
        <f>B152*C152</f>
        <v>22.855555555555554</v>
      </c>
      <c r="O152" s="97"/>
      <c r="T152" s="7"/>
    </row>
    <row r="153" spans="1:20" ht="12.75">
      <c r="A153" s="42" t="s">
        <v>21</v>
      </c>
      <c r="B153" s="97">
        <f>N146</f>
        <v>0</v>
      </c>
      <c r="C153" s="22">
        <f>O130</f>
        <v>0</v>
      </c>
      <c r="D153" s="7">
        <f>B153*C153</f>
        <v>0</v>
      </c>
      <c r="O153" s="97"/>
      <c r="T153" s="7"/>
    </row>
    <row r="154" spans="1:20" ht="12.75">
      <c r="A154" s="42" t="s">
        <v>1552</v>
      </c>
      <c r="B154" s="97">
        <f>S146</f>
        <v>0</v>
      </c>
      <c r="C154" s="22">
        <f>T130</f>
        <v>2</v>
      </c>
      <c r="D154" s="7">
        <f>B154*C154</f>
        <v>0</v>
      </c>
      <c r="O154" s="97"/>
      <c r="T154" s="7"/>
    </row>
    <row r="155" spans="1:20" ht="12.75">
      <c r="A155" s="42" t="s">
        <v>1561</v>
      </c>
      <c r="B155" s="322">
        <f>B152/B151</f>
        <v>0.11902419830808575</v>
      </c>
      <c r="D155" s="7"/>
      <c r="O155" s="97"/>
      <c r="T155" s="7"/>
    </row>
    <row r="156" spans="1:20" ht="12.75">
      <c r="A156" s="77" t="s">
        <v>1555</v>
      </c>
      <c r="B156" s="18"/>
      <c r="C156" s="18"/>
      <c r="D156" s="78">
        <f>SUM(D151:D154)</f>
        <v>39.13340228530139</v>
      </c>
      <c r="O156" s="97"/>
      <c r="T156" s="7"/>
    </row>
    <row r="157" spans="1:20" ht="12.75">
      <c r="A157" s="77"/>
      <c r="B157" s="18"/>
      <c r="C157" s="18"/>
      <c r="D157" s="78"/>
      <c r="O157" s="97"/>
      <c r="T157" s="7"/>
    </row>
    <row r="158" spans="1:20" ht="12.75">
      <c r="A158" s="77" t="s">
        <v>1562</v>
      </c>
      <c r="B158" s="17">
        <f>D156/B150</f>
        <v>0.06191994032484398</v>
      </c>
      <c r="C158" s="77" t="s">
        <v>1563</v>
      </c>
      <c r="D158" s="17">
        <f>1/B158</f>
        <v>16.149886365422944</v>
      </c>
      <c r="E158" s="18"/>
      <c r="F158" s="18"/>
      <c r="G158" s="18"/>
      <c r="H158" s="18"/>
      <c r="I158" s="18"/>
      <c r="J158" s="18"/>
      <c r="K158" s="18"/>
      <c r="L158" s="18"/>
      <c r="M158" s="18"/>
      <c r="N158" s="18"/>
      <c r="O158" s="18"/>
      <c r="P158" s="18"/>
      <c r="Q158" s="18"/>
      <c r="R158" s="18"/>
      <c r="S158" s="18"/>
      <c r="T158" s="78"/>
    </row>
    <row r="161" spans="1:20" ht="12.75">
      <c r="A161" s="4" t="s">
        <v>1568</v>
      </c>
      <c r="B161" s="4"/>
      <c r="C161" s="4"/>
      <c r="D161" s="4"/>
      <c r="E161" s="4"/>
      <c r="F161" s="4"/>
      <c r="G161" s="4"/>
      <c r="H161" s="4"/>
      <c r="I161" s="4"/>
      <c r="J161" s="4"/>
      <c r="K161" s="4"/>
      <c r="L161" s="4"/>
      <c r="M161" s="4"/>
      <c r="N161" s="4"/>
      <c r="O161" s="4"/>
      <c r="P161" s="4"/>
      <c r="Q161" s="4"/>
      <c r="R161" s="4"/>
      <c r="S161" s="4"/>
      <c r="T161" s="4"/>
    </row>
    <row r="162" spans="1:20" ht="12.75">
      <c r="A162" s="233"/>
      <c r="B162" s="233"/>
      <c r="C162" s="233"/>
      <c r="D162" s="233"/>
      <c r="E162" s="233"/>
      <c r="F162" s="233"/>
      <c r="G162" s="233"/>
      <c r="H162" s="233"/>
      <c r="I162" s="233"/>
      <c r="J162" s="233"/>
      <c r="K162" s="233"/>
      <c r="L162" s="233"/>
      <c r="M162" s="233"/>
      <c r="N162" s="233"/>
      <c r="O162" s="233"/>
      <c r="P162" s="233"/>
      <c r="Q162" s="233"/>
      <c r="R162" s="233"/>
      <c r="S162" s="233"/>
      <c r="T162" s="233"/>
    </row>
    <row r="163" spans="1:20" ht="12.75">
      <c r="A163" s="318"/>
      <c r="B163" s="52" t="s">
        <v>1551</v>
      </c>
      <c r="C163" s="52"/>
      <c r="D163" s="52"/>
      <c r="E163" s="52"/>
      <c r="F163" s="2"/>
      <c r="G163" s="52" t="s">
        <v>22</v>
      </c>
      <c r="H163" s="52"/>
      <c r="I163" s="52"/>
      <c r="J163" s="52"/>
      <c r="K163" s="2"/>
      <c r="L163" s="52" t="s">
        <v>21</v>
      </c>
      <c r="M163" s="52"/>
      <c r="N163" s="52"/>
      <c r="O163" s="52"/>
      <c r="P163" s="2"/>
      <c r="Q163" s="52" t="s">
        <v>1552</v>
      </c>
      <c r="R163" s="52"/>
      <c r="S163" s="52"/>
      <c r="T163" s="52"/>
    </row>
    <row r="164" spans="1:20" ht="12.75">
      <c r="A164" s="42"/>
      <c r="B164" s="42" t="s">
        <v>1553</v>
      </c>
      <c r="C164" s="45" t="s">
        <v>1061</v>
      </c>
      <c r="D164" s="45" t="s">
        <v>974</v>
      </c>
      <c r="E164" s="7" t="s">
        <v>1554</v>
      </c>
      <c r="F164" s="45"/>
      <c r="G164" s="42" t="s">
        <v>1553</v>
      </c>
      <c r="H164" t="s">
        <v>1061</v>
      </c>
      <c r="I164" t="s">
        <v>974</v>
      </c>
      <c r="J164" s="7" t="s">
        <v>1554</v>
      </c>
      <c r="L164" s="42" t="s">
        <v>1553</v>
      </c>
      <c r="M164" t="s">
        <v>1061</v>
      </c>
      <c r="N164" t="s">
        <v>974</v>
      </c>
      <c r="O164" s="7" t="s">
        <v>1554</v>
      </c>
      <c r="Q164" s="42" t="s">
        <v>1553</v>
      </c>
      <c r="R164" s="97" t="s">
        <v>1061</v>
      </c>
      <c r="S164" t="s">
        <v>974</v>
      </c>
      <c r="T164" s="7" t="s">
        <v>1554</v>
      </c>
    </row>
    <row r="165" spans="1:20" ht="12.75">
      <c r="A165" s="42"/>
      <c r="B165" s="42">
        <v>52</v>
      </c>
      <c r="C165" s="45">
        <v>8</v>
      </c>
      <c r="D165" s="45">
        <f>B165*C165</f>
        <v>416</v>
      </c>
      <c r="E165" s="7">
        <f>E130</f>
        <v>0.02882168415654388</v>
      </c>
      <c r="F165" s="45"/>
      <c r="G165" s="42">
        <f>(36+8)/12</f>
        <v>3.6666666666666665</v>
      </c>
      <c r="H165" s="45">
        <f>(36+8)/12</f>
        <v>3.6666666666666665</v>
      </c>
      <c r="I165" s="22">
        <f>G165*H165</f>
        <v>13.444444444444443</v>
      </c>
      <c r="J165" s="7">
        <f>J130</f>
        <v>0.34</v>
      </c>
      <c r="L165" s="42"/>
      <c r="M165" s="22"/>
      <c r="N165" s="22"/>
      <c r="O165" s="7"/>
      <c r="Q165" s="42">
        <v>0</v>
      </c>
      <c r="R165" s="97">
        <v>0</v>
      </c>
      <c r="S165" s="22">
        <f>Q165*R165</f>
        <v>0</v>
      </c>
      <c r="T165" s="7">
        <f>2/1</f>
        <v>2</v>
      </c>
    </row>
    <row r="166" spans="1:20" ht="12.75">
      <c r="A166" s="42"/>
      <c r="B166" s="42">
        <v>18</v>
      </c>
      <c r="C166" s="45">
        <v>12</v>
      </c>
      <c r="D166" s="45">
        <f>B166*C166</f>
        <v>216</v>
      </c>
      <c r="E166" s="7">
        <f>E165</f>
        <v>0.02882168415654388</v>
      </c>
      <c r="F166" s="45"/>
      <c r="G166" s="42">
        <f>(36+8)/12</f>
        <v>3.6666666666666665</v>
      </c>
      <c r="H166" s="45">
        <f>(36+8)/12</f>
        <v>3.6666666666666665</v>
      </c>
      <c r="I166" s="22">
        <f>G166*H166</f>
        <v>13.444444444444443</v>
      </c>
      <c r="J166" s="7">
        <f>J165</f>
        <v>0.34</v>
      </c>
      <c r="L166" s="42"/>
      <c r="O166" s="7"/>
      <c r="Q166" s="42"/>
      <c r="R166" s="97"/>
      <c r="T166" s="7"/>
    </row>
    <row r="167" spans="1:20" ht="12.75">
      <c r="A167" s="42"/>
      <c r="B167" s="42">
        <v>16</v>
      </c>
      <c r="C167" s="45">
        <v>8</v>
      </c>
      <c r="D167" s="45">
        <f>B167*C167</f>
        <v>128</v>
      </c>
      <c r="E167" s="7">
        <f>E166</f>
        <v>0.02882168415654388</v>
      </c>
      <c r="F167" s="45"/>
      <c r="G167" s="42">
        <f>(36+8)/12</f>
        <v>3.6666666666666665</v>
      </c>
      <c r="H167" s="45">
        <f>(36+8)/12</f>
        <v>3.6666666666666665</v>
      </c>
      <c r="I167" s="22">
        <f>G167*H167</f>
        <v>13.444444444444443</v>
      </c>
      <c r="J167" s="7">
        <f>J166</f>
        <v>0.34</v>
      </c>
      <c r="L167" s="42"/>
      <c r="O167" s="7"/>
      <c r="Q167" s="42"/>
      <c r="R167" s="97"/>
      <c r="T167" s="7"/>
    </row>
    <row r="168" spans="1:20" ht="12.75">
      <c r="A168" s="42"/>
      <c r="B168" s="42"/>
      <c r="C168" s="45"/>
      <c r="D168" s="45"/>
      <c r="E168" s="7"/>
      <c r="F168" s="45"/>
      <c r="G168" s="42"/>
      <c r="H168" s="45"/>
      <c r="I168" s="22"/>
      <c r="J168" s="7"/>
      <c r="L168" s="42"/>
      <c r="O168" s="7"/>
      <c r="Q168" s="42"/>
      <c r="R168" s="97"/>
      <c r="T168" s="7"/>
    </row>
    <row r="169" spans="1:20" ht="12.75">
      <c r="A169" s="42"/>
      <c r="B169" s="42"/>
      <c r="C169" s="45"/>
      <c r="D169" s="45"/>
      <c r="E169" s="7"/>
      <c r="F169" s="45"/>
      <c r="G169" s="42"/>
      <c r="H169" s="45"/>
      <c r="I169" s="22"/>
      <c r="J169" s="7"/>
      <c r="L169" s="42"/>
      <c r="O169" s="7"/>
      <c r="Q169" s="42"/>
      <c r="R169" s="97"/>
      <c r="T169" s="7"/>
    </row>
    <row r="170" spans="1:20" ht="12.75">
      <c r="A170" s="42"/>
      <c r="B170" s="42"/>
      <c r="C170" s="45"/>
      <c r="D170" s="45"/>
      <c r="E170" s="7"/>
      <c r="F170" s="45"/>
      <c r="G170" s="42"/>
      <c r="H170" s="45"/>
      <c r="I170" s="22"/>
      <c r="J170" s="7"/>
      <c r="L170" s="42"/>
      <c r="O170" s="7"/>
      <c r="Q170" s="42"/>
      <c r="R170" s="97"/>
      <c r="T170" s="7"/>
    </row>
    <row r="171" spans="1:20" ht="12.75">
      <c r="A171" s="42"/>
      <c r="B171" s="42"/>
      <c r="E171" s="7"/>
      <c r="G171" s="42"/>
      <c r="H171" s="45"/>
      <c r="I171" s="22"/>
      <c r="J171" s="7"/>
      <c r="L171" s="42"/>
      <c r="O171" s="7"/>
      <c r="Q171" s="42"/>
      <c r="R171" s="97"/>
      <c r="T171" s="7"/>
    </row>
    <row r="172" spans="1:20" ht="12.75">
      <c r="A172" s="42"/>
      <c r="B172" s="42"/>
      <c r="E172" s="7"/>
      <c r="G172" s="42"/>
      <c r="H172" s="45"/>
      <c r="I172" s="22"/>
      <c r="J172" s="7"/>
      <c r="L172" s="42"/>
      <c r="O172" s="7"/>
      <c r="Q172" s="42"/>
      <c r="R172" s="97"/>
      <c r="T172" s="7"/>
    </row>
    <row r="173" spans="1:20" ht="12.75">
      <c r="A173" s="42"/>
      <c r="B173" s="42"/>
      <c r="E173" s="7"/>
      <c r="G173" s="42"/>
      <c r="H173" s="22"/>
      <c r="I173" s="22"/>
      <c r="J173" s="7"/>
      <c r="L173" s="42"/>
      <c r="O173" s="7"/>
      <c r="Q173" s="42"/>
      <c r="R173" s="97"/>
      <c r="T173" s="7"/>
    </row>
    <row r="174" spans="1:20" ht="12.75">
      <c r="A174" s="42"/>
      <c r="B174" s="42"/>
      <c r="E174" s="7"/>
      <c r="G174" s="42"/>
      <c r="H174" s="22"/>
      <c r="I174" s="22"/>
      <c r="J174" s="7"/>
      <c r="L174" s="42"/>
      <c r="O174" s="7"/>
      <c r="Q174" s="42"/>
      <c r="R174" s="97"/>
      <c r="T174" s="7"/>
    </row>
    <row r="175" spans="1:20" ht="12.75">
      <c r="A175" s="42"/>
      <c r="B175" s="42"/>
      <c r="E175" s="7"/>
      <c r="G175" s="42"/>
      <c r="H175" s="22"/>
      <c r="I175" s="22"/>
      <c r="J175" s="7"/>
      <c r="L175" s="42"/>
      <c r="O175" s="7"/>
      <c r="Q175" s="42"/>
      <c r="R175" s="97"/>
      <c r="T175" s="7"/>
    </row>
    <row r="176" spans="1:20" ht="12.75">
      <c r="A176" s="42"/>
      <c r="B176" s="42"/>
      <c r="E176" s="7"/>
      <c r="G176" s="42"/>
      <c r="H176" s="22"/>
      <c r="I176" s="22"/>
      <c r="J176" s="7"/>
      <c r="L176" s="42"/>
      <c r="O176" s="7"/>
      <c r="Q176" s="42"/>
      <c r="R176" s="97"/>
      <c r="T176" s="7"/>
    </row>
    <row r="177" spans="1:20" ht="12.75">
      <c r="A177" s="42"/>
      <c r="B177" s="42"/>
      <c r="E177" s="7"/>
      <c r="G177" s="42"/>
      <c r="I177" s="22"/>
      <c r="J177" s="7"/>
      <c r="L177" s="42"/>
      <c r="O177" s="7"/>
      <c r="Q177" s="42"/>
      <c r="R177" s="97"/>
      <c r="T177" s="7"/>
    </row>
    <row r="178" spans="1:20" ht="12.75">
      <c r="A178" s="42"/>
      <c r="B178" s="42"/>
      <c r="E178" s="7"/>
      <c r="G178" s="42"/>
      <c r="I178" s="22"/>
      <c r="J178" s="7"/>
      <c r="L178" s="42"/>
      <c r="O178" s="7"/>
      <c r="Q178" s="42"/>
      <c r="R178" s="97"/>
      <c r="T178" s="7"/>
    </row>
    <row r="179" spans="1:20" ht="12.75">
      <c r="A179" s="42"/>
      <c r="B179" s="42"/>
      <c r="E179" s="7"/>
      <c r="G179" s="42"/>
      <c r="I179" s="22"/>
      <c r="J179" s="7"/>
      <c r="L179" s="42"/>
      <c r="O179" s="7"/>
      <c r="Q179" s="42"/>
      <c r="R179" s="97"/>
      <c r="T179" s="7"/>
    </row>
    <row r="180" spans="1:20" ht="12.75">
      <c r="A180" s="42"/>
      <c r="B180" s="42"/>
      <c r="C180" s="97"/>
      <c r="D180" s="97"/>
      <c r="E180" s="7"/>
      <c r="G180" s="42"/>
      <c r="I180" s="22"/>
      <c r="J180" s="7"/>
      <c r="L180" s="42"/>
      <c r="O180" s="7"/>
      <c r="Q180" s="42"/>
      <c r="R180" s="97"/>
      <c r="T180" s="7"/>
    </row>
    <row r="181" spans="1:20" ht="12.75">
      <c r="A181" s="319" t="s">
        <v>1555</v>
      </c>
      <c r="B181" s="319">
        <f>SUM(B165:B180)</f>
        <v>86</v>
      </c>
      <c r="C181" s="320">
        <f>SUM(C165:C180)</f>
        <v>28</v>
      </c>
      <c r="D181" s="320">
        <f>SUM(D165:D180)</f>
        <v>760</v>
      </c>
      <c r="E181" s="321" t="s">
        <v>242</v>
      </c>
      <c r="F181" s="320"/>
      <c r="G181" s="319">
        <f>SUM(G165:G180)</f>
        <v>11</v>
      </c>
      <c r="H181" s="320">
        <f>SUM(H165:H180)</f>
        <v>11</v>
      </c>
      <c r="I181" s="320">
        <f>SUM(I165:I180)</f>
        <v>40.33333333333333</v>
      </c>
      <c r="J181" s="321" t="s">
        <v>242</v>
      </c>
      <c r="K181" s="320"/>
      <c r="L181" s="319">
        <f>SUM(L165:L180)</f>
        <v>0</v>
      </c>
      <c r="M181" s="320">
        <f>SUM(M165:M180)</f>
        <v>0</v>
      </c>
      <c r="N181" s="320">
        <f>SUM(N165:N180)</f>
        <v>0</v>
      </c>
      <c r="O181" s="321" t="s">
        <v>242</v>
      </c>
      <c r="P181" s="320"/>
      <c r="Q181" s="319">
        <f>SUM(Q165:Q180)</f>
        <v>0</v>
      </c>
      <c r="R181" s="320">
        <f>SUM(R165:R180)</f>
        <v>0</v>
      </c>
      <c r="S181" s="320">
        <f>SUM(S165:S180)</f>
        <v>0</v>
      </c>
      <c r="T181" s="321" t="s">
        <v>242</v>
      </c>
    </row>
    <row r="182" spans="1:20" ht="12.75">
      <c r="A182" s="42"/>
      <c r="B182" s="97"/>
      <c r="C182" s="97"/>
      <c r="D182" s="97"/>
      <c r="E182" s="97"/>
      <c r="G182" s="97"/>
      <c r="H182" s="97"/>
      <c r="I182" s="97"/>
      <c r="J182" s="97"/>
      <c r="L182" s="97"/>
      <c r="M182" s="97"/>
      <c r="N182" s="97"/>
      <c r="O182" s="97"/>
      <c r="Q182" s="97"/>
      <c r="R182" s="97"/>
      <c r="S182" s="97"/>
      <c r="T182" s="7"/>
    </row>
    <row r="183" spans="1:20" ht="12.75">
      <c r="A183" s="52" t="s">
        <v>1569</v>
      </c>
      <c r="B183" s="52"/>
      <c r="C183" s="52"/>
      <c r="D183" s="52"/>
      <c r="G183" t="s">
        <v>1557</v>
      </c>
      <c r="I183" s="95">
        <f>B187/3600</f>
        <v>0.011203703703703702</v>
      </c>
      <c r="O183" s="97"/>
      <c r="T183" s="7"/>
    </row>
    <row r="184" spans="1:20" ht="12.75">
      <c r="A184" s="42" t="s">
        <v>1558</v>
      </c>
      <c r="B184" s="97" t="s">
        <v>1229</v>
      </c>
      <c r="C184" t="s">
        <v>1554</v>
      </c>
      <c r="D184" s="7" t="s">
        <v>1559</v>
      </c>
      <c r="O184" s="97"/>
      <c r="T184" s="7"/>
    </row>
    <row r="185" spans="1:20" ht="12.75">
      <c r="A185" s="42" t="s">
        <v>1560</v>
      </c>
      <c r="B185" s="97">
        <f>D181</f>
        <v>760</v>
      </c>
      <c r="D185" s="7"/>
      <c r="O185" s="97"/>
      <c r="T185" s="7"/>
    </row>
    <row r="186" spans="1:20" ht="12.75">
      <c r="A186" s="42" t="s">
        <v>1551</v>
      </c>
      <c r="B186" s="97">
        <f>B185-B187-B188-B189</f>
        <v>719.6666666666666</v>
      </c>
      <c r="C186" s="22">
        <f>E165</f>
        <v>0.02882168415654388</v>
      </c>
      <c r="D186" s="7">
        <f>B186*C186</f>
        <v>20.74200536465941</v>
      </c>
      <c r="O186" s="97"/>
      <c r="T186" s="7"/>
    </row>
    <row r="187" spans="1:20" ht="12.75">
      <c r="A187" s="42" t="s">
        <v>1117</v>
      </c>
      <c r="B187" s="97">
        <f>I181</f>
        <v>40.33333333333333</v>
      </c>
      <c r="C187" s="22">
        <f>J165</f>
        <v>0.34</v>
      </c>
      <c r="D187" s="7">
        <f>B187*C187</f>
        <v>13.713333333333333</v>
      </c>
      <c r="O187" s="97"/>
      <c r="T187" s="7"/>
    </row>
    <row r="188" spans="1:20" ht="12.75">
      <c r="A188" s="42" t="s">
        <v>21</v>
      </c>
      <c r="B188" s="97">
        <f>N181</f>
        <v>0</v>
      </c>
      <c r="C188" s="22">
        <f>O165</f>
        <v>0</v>
      </c>
      <c r="D188" s="7">
        <f>B188*C188</f>
        <v>0</v>
      </c>
      <c r="O188" s="97"/>
      <c r="T188" s="7"/>
    </row>
    <row r="189" spans="1:20" ht="12.75">
      <c r="A189" s="42" t="s">
        <v>1552</v>
      </c>
      <c r="B189" s="97">
        <f>S181</f>
        <v>0</v>
      </c>
      <c r="C189" s="22">
        <f>T165</f>
        <v>2</v>
      </c>
      <c r="D189" s="7">
        <f>B189*C189</f>
        <v>0</v>
      </c>
      <c r="O189" s="97"/>
      <c r="T189" s="7"/>
    </row>
    <row r="190" spans="1:20" ht="12.75">
      <c r="A190" s="42" t="s">
        <v>1561</v>
      </c>
      <c r="B190" s="322">
        <f>B187/B186</f>
        <v>0.05604446503010653</v>
      </c>
      <c r="D190" s="7"/>
      <c r="O190" s="97"/>
      <c r="T190" s="7"/>
    </row>
    <row r="191" spans="1:20" ht="12.75">
      <c r="A191" s="77" t="s">
        <v>1555</v>
      </c>
      <c r="B191" s="18"/>
      <c r="C191" s="18"/>
      <c r="D191" s="78">
        <f>SUM(D186:D189)</f>
        <v>34.455338697992744</v>
      </c>
      <c r="O191" s="97"/>
      <c r="T191" s="7"/>
    </row>
    <row r="192" spans="1:20" ht="12.75">
      <c r="A192" s="77"/>
      <c r="B192" s="18"/>
      <c r="C192" s="18"/>
      <c r="D192" s="78"/>
      <c r="O192" s="97"/>
      <c r="T192" s="7"/>
    </row>
    <row r="193" spans="1:20" ht="12.75">
      <c r="A193" s="77" t="s">
        <v>1562</v>
      </c>
      <c r="B193" s="17">
        <f>D191/B185</f>
        <v>0.04533597197104308</v>
      </c>
      <c r="C193" s="77" t="s">
        <v>1563</v>
      </c>
      <c r="D193" s="17">
        <f>1/B193</f>
        <v>22.057539664942407</v>
      </c>
      <c r="E193" s="18"/>
      <c r="F193" s="18"/>
      <c r="G193" s="18"/>
      <c r="H193" s="18"/>
      <c r="I193" s="18"/>
      <c r="J193" s="18"/>
      <c r="K193" s="18"/>
      <c r="L193" s="18"/>
      <c r="M193" s="18"/>
      <c r="N193" s="18"/>
      <c r="O193" s="18"/>
      <c r="P193" s="18"/>
      <c r="Q193" s="18"/>
      <c r="R193" s="18"/>
      <c r="S193" s="18"/>
      <c r="T193" s="78"/>
    </row>
    <row r="196" spans="1:20" ht="12.75">
      <c r="A196" s="4" t="s">
        <v>1570</v>
      </c>
      <c r="B196" s="4"/>
      <c r="C196" s="4"/>
      <c r="D196" s="4"/>
      <c r="E196" s="4"/>
      <c r="F196" s="4"/>
      <c r="G196" s="4"/>
      <c r="H196" s="4"/>
      <c r="I196" s="4"/>
      <c r="J196" s="4"/>
      <c r="K196" s="4"/>
      <c r="L196" s="4"/>
      <c r="M196" s="4"/>
      <c r="N196" s="4"/>
      <c r="O196" s="4"/>
      <c r="P196" s="4"/>
      <c r="Q196" s="4"/>
      <c r="R196" s="4"/>
      <c r="S196" s="4"/>
      <c r="T196" s="4"/>
    </row>
    <row r="197" spans="1:20" ht="12.75">
      <c r="A197" s="233"/>
      <c r="B197" s="233"/>
      <c r="C197" s="233"/>
      <c r="D197" s="233"/>
      <c r="E197" s="233"/>
      <c r="F197" s="233"/>
      <c r="G197" s="233"/>
      <c r="H197" s="233"/>
      <c r="I197" s="233"/>
      <c r="J197" s="233"/>
      <c r="K197" s="233"/>
      <c r="L197" s="233"/>
      <c r="M197" s="233"/>
      <c r="N197" s="233"/>
      <c r="O197" s="233"/>
      <c r="P197" s="233"/>
      <c r="Q197" s="233"/>
      <c r="R197" s="233"/>
      <c r="S197" s="233"/>
      <c r="T197" s="233"/>
    </row>
    <row r="198" spans="1:20" ht="12.75">
      <c r="A198" s="318"/>
      <c r="B198" s="52" t="s">
        <v>937</v>
      </c>
      <c r="C198" s="52"/>
      <c r="D198" s="52"/>
      <c r="E198" s="52"/>
      <c r="F198" s="2"/>
      <c r="G198" s="52"/>
      <c r="H198" s="52"/>
      <c r="I198" s="52"/>
      <c r="J198" s="52"/>
      <c r="K198" s="2"/>
      <c r="L198" s="52"/>
      <c r="M198" s="52"/>
      <c r="N198" s="52"/>
      <c r="O198" s="52"/>
      <c r="P198" s="2"/>
      <c r="Q198" s="52" t="s">
        <v>1552</v>
      </c>
      <c r="R198" s="52"/>
      <c r="S198" s="52"/>
      <c r="T198" s="52"/>
    </row>
    <row r="199" spans="1:20" ht="12.75">
      <c r="A199" s="42"/>
      <c r="B199" s="42" t="s">
        <v>1553</v>
      </c>
      <c r="C199" s="45" t="s">
        <v>1061</v>
      </c>
      <c r="D199" s="45" t="s">
        <v>974</v>
      </c>
      <c r="E199" s="7" t="s">
        <v>1554</v>
      </c>
      <c r="F199" s="45"/>
      <c r="G199" s="42" t="s">
        <v>1553</v>
      </c>
      <c r="H199" t="s">
        <v>1061</v>
      </c>
      <c r="I199" t="s">
        <v>974</v>
      </c>
      <c r="J199" s="7" t="s">
        <v>1554</v>
      </c>
      <c r="L199" s="42" t="s">
        <v>1553</v>
      </c>
      <c r="M199" t="s">
        <v>1061</v>
      </c>
      <c r="N199" t="s">
        <v>974</v>
      </c>
      <c r="O199" s="7" t="s">
        <v>1554</v>
      </c>
      <c r="Q199" s="42" t="s">
        <v>1553</v>
      </c>
      <c r="R199" s="97" t="s">
        <v>1061</v>
      </c>
      <c r="S199" t="s">
        <v>974</v>
      </c>
      <c r="T199" s="7" t="s">
        <v>1554</v>
      </c>
    </row>
    <row r="200" spans="1:20" ht="12.75">
      <c r="A200" s="42"/>
      <c r="B200" s="42">
        <v>96</v>
      </c>
      <c r="C200" s="45">
        <v>21.6</v>
      </c>
      <c r="D200" s="45">
        <f>B200*C200</f>
        <v>2073.6000000000004</v>
      </c>
      <c r="E200" s="7">
        <f>1/30</f>
        <v>0.03333333333333333</v>
      </c>
      <c r="F200" s="45"/>
      <c r="G200" s="42"/>
      <c r="H200" s="45"/>
      <c r="I200" s="22"/>
      <c r="J200" s="7"/>
      <c r="L200" s="42"/>
      <c r="M200" s="22"/>
      <c r="N200" s="22"/>
      <c r="O200" s="7"/>
      <c r="Q200" s="42">
        <v>0</v>
      </c>
      <c r="R200" s="97">
        <v>0</v>
      </c>
      <c r="S200" s="22">
        <f>Q200*R200</f>
        <v>0</v>
      </c>
      <c r="T200" s="7">
        <f>2/1</f>
        <v>2</v>
      </c>
    </row>
    <row r="201" spans="1:20" ht="12.75">
      <c r="A201" s="42"/>
      <c r="B201" s="42">
        <v>96</v>
      </c>
      <c r="C201" s="45">
        <v>21.6</v>
      </c>
      <c r="D201" s="45">
        <f>B201*C201</f>
        <v>2073.6000000000004</v>
      </c>
      <c r="E201" s="7">
        <f>E200</f>
        <v>0.03333333333333333</v>
      </c>
      <c r="F201" s="45"/>
      <c r="G201" s="42"/>
      <c r="H201" s="45"/>
      <c r="I201" s="22"/>
      <c r="J201" s="7"/>
      <c r="L201" s="42"/>
      <c r="O201" s="7"/>
      <c r="Q201" s="42"/>
      <c r="R201" s="97"/>
      <c r="T201" s="7"/>
    </row>
    <row r="202" spans="1:20" ht="12.75">
      <c r="A202" s="42"/>
      <c r="B202" s="42">
        <v>16.75</v>
      </c>
      <c r="C202" s="45">
        <v>16</v>
      </c>
      <c r="D202" s="45">
        <f>B202*C202</f>
        <v>268</v>
      </c>
      <c r="E202" s="7">
        <f>E201</f>
        <v>0.03333333333333333</v>
      </c>
      <c r="F202" s="45"/>
      <c r="G202" s="42"/>
      <c r="H202" s="45"/>
      <c r="I202" s="22"/>
      <c r="J202" s="7"/>
      <c r="L202" s="42"/>
      <c r="O202" s="7"/>
      <c r="Q202" s="42"/>
      <c r="R202" s="97"/>
      <c r="T202" s="7"/>
    </row>
    <row r="203" spans="1:20" ht="12.75">
      <c r="A203" s="42"/>
      <c r="B203" s="42">
        <v>16.75</v>
      </c>
      <c r="C203" s="45">
        <v>16</v>
      </c>
      <c r="D203" s="45">
        <f>B203*C203</f>
        <v>268</v>
      </c>
      <c r="E203" s="7">
        <f>E202</f>
        <v>0.03333333333333333</v>
      </c>
      <c r="F203" s="45"/>
      <c r="G203" s="42"/>
      <c r="H203" s="45"/>
      <c r="I203" s="22"/>
      <c r="J203" s="7"/>
      <c r="L203" s="42"/>
      <c r="O203" s="7"/>
      <c r="Q203" s="42"/>
      <c r="R203" s="97"/>
      <c r="T203" s="7"/>
    </row>
    <row r="204" spans="1:20" ht="12.75">
      <c r="A204" s="42"/>
      <c r="B204" s="42"/>
      <c r="C204" s="45"/>
      <c r="D204" s="45"/>
      <c r="E204" s="7"/>
      <c r="F204" s="45"/>
      <c r="G204" s="42"/>
      <c r="H204" s="45"/>
      <c r="I204" s="22"/>
      <c r="J204" s="7"/>
      <c r="L204" s="42"/>
      <c r="O204" s="7"/>
      <c r="Q204" s="42"/>
      <c r="R204" s="97"/>
      <c r="T204" s="7"/>
    </row>
    <row r="205" spans="1:20" ht="12.75">
      <c r="A205" s="42"/>
      <c r="B205" s="42"/>
      <c r="C205" s="45"/>
      <c r="D205" s="45"/>
      <c r="E205" s="7"/>
      <c r="F205" s="45"/>
      <c r="G205" s="42"/>
      <c r="H205" s="45"/>
      <c r="I205" s="22"/>
      <c r="J205" s="7"/>
      <c r="L205" s="42"/>
      <c r="O205" s="7"/>
      <c r="Q205" s="42"/>
      <c r="R205" s="97"/>
      <c r="T205" s="7"/>
    </row>
    <row r="206" spans="1:20" ht="12.75">
      <c r="A206" s="42"/>
      <c r="B206" s="42"/>
      <c r="E206" s="7"/>
      <c r="G206" s="42"/>
      <c r="H206" s="45"/>
      <c r="I206" s="22"/>
      <c r="J206" s="7"/>
      <c r="L206" s="42"/>
      <c r="O206" s="7"/>
      <c r="Q206" s="42"/>
      <c r="R206" s="97"/>
      <c r="T206" s="7"/>
    </row>
    <row r="207" spans="1:20" ht="12.75">
      <c r="A207" s="42"/>
      <c r="B207" s="42"/>
      <c r="E207" s="7"/>
      <c r="G207" s="42"/>
      <c r="H207" s="45"/>
      <c r="I207" s="22"/>
      <c r="J207" s="7"/>
      <c r="L207" s="42"/>
      <c r="O207" s="7"/>
      <c r="Q207" s="42"/>
      <c r="R207" s="97"/>
      <c r="T207" s="7"/>
    </row>
    <row r="208" spans="1:20" ht="12.75">
      <c r="A208" s="42"/>
      <c r="B208" s="42"/>
      <c r="E208" s="7"/>
      <c r="G208" s="42"/>
      <c r="H208" s="22"/>
      <c r="I208" s="22"/>
      <c r="J208" s="7"/>
      <c r="L208" s="42"/>
      <c r="O208" s="7"/>
      <c r="Q208" s="42"/>
      <c r="R208" s="97"/>
      <c r="T208" s="7"/>
    </row>
    <row r="209" spans="1:20" ht="12.75">
      <c r="A209" s="42"/>
      <c r="B209" s="42"/>
      <c r="E209" s="7"/>
      <c r="G209" s="42"/>
      <c r="H209" s="22"/>
      <c r="I209" s="22"/>
      <c r="J209" s="7"/>
      <c r="L209" s="42"/>
      <c r="O209" s="7"/>
      <c r="Q209" s="42"/>
      <c r="R209" s="97"/>
      <c r="T209" s="7"/>
    </row>
    <row r="210" spans="1:20" ht="12.75">
      <c r="A210" s="42"/>
      <c r="B210" s="42"/>
      <c r="E210" s="7"/>
      <c r="G210" s="42"/>
      <c r="H210" s="22"/>
      <c r="I210" s="22"/>
      <c r="J210" s="7"/>
      <c r="L210" s="42"/>
      <c r="O210" s="7"/>
      <c r="Q210" s="42"/>
      <c r="R210" s="97"/>
      <c r="T210" s="7"/>
    </row>
    <row r="211" spans="1:20" ht="12.75">
      <c r="A211" s="42"/>
      <c r="B211" s="42"/>
      <c r="E211" s="7"/>
      <c r="G211" s="42"/>
      <c r="H211" s="22"/>
      <c r="I211" s="22"/>
      <c r="J211" s="7"/>
      <c r="L211" s="42"/>
      <c r="O211" s="7"/>
      <c r="Q211" s="42"/>
      <c r="R211" s="97"/>
      <c r="T211" s="7"/>
    </row>
    <row r="212" spans="1:20" ht="12.75">
      <c r="A212" s="42"/>
      <c r="B212" s="42"/>
      <c r="E212" s="7"/>
      <c r="G212" s="42"/>
      <c r="I212" s="22"/>
      <c r="J212" s="7"/>
      <c r="L212" s="42"/>
      <c r="O212" s="7"/>
      <c r="Q212" s="42"/>
      <c r="R212" s="97"/>
      <c r="T212" s="7"/>
    </row>
    <row r="213" spans="1:20" ht="12.75">
      <c r="A213" s="42"/>
      <c r="B213" s="42"/>
      <c r="E213" s="7"/>
      <c r="G213" s="42"/>
      <c r="I213" s="22"/>
      <c r="J213" s="7"/>
      <c r="L213" s="42"/>
      <c r="O213" s="7"/>
      <c r="Q213" s="42"/>
      <c r="R213" s="97"/>
      <c r="T213" s="7"/>
    </row>
    <row r="214" spans="1:20" ht="12.75">
      <c r="A214" s="42"/>
      <c r="B214" s="42"/>
      <c r="E214" s="7"/>
      <c r="G214" s="42"/>
      <c r="I214" s="22"/>
      <c r="J214" s="7"/>
      <c r="L214" s="42"/>
      <c r="O214" s="7"/>
      <c r="Q214" s="42"/>
      <c r="R214" s="97"/>
      <c r="T214" s="7"/>
    </row>
    <row r="215" spans="1:20" ht="12.75">
      <c r="A215" s="42"/>
      <c r="B215" s="42"/>
      <c r="C215" s="97"/>
      <c r="D215" s="97"/>
      <c r="E215" s="7"/>
      <c r="G215" s="42"/>
      <c r="I215" s="22"/>
      <c r="J215" s="7"/>
      <c r="L215" s="42"/>
      <c r="O215" s="7"/>
      <c r="Q215" s="42"/>
      <c r="R215" s="97"/>
      <c r="T215" s="7"/>
    </row>
    <row r="216" spans="1:20" ht="12.75">
      <c r="A216" s="319" t="s">
        <v>1555</v>
      </c>
      <c r="B216" s="319">
        <f>SUM(B200:B215)</f>
        <v>225.5</v>
      </c>
      <c r="C216" s="320">
        <f>SUM(C200:C215)</f>
        <v>75.2</v>
      </c>
      <c r="D216" s="320">
        <f>SUM(D200:D215)</f>
        <v>4683.200000000001</v>
      </c>
      <c r="E216" s="321" t="s">
        <v>242</v>
      </c>
      <c r="F216" s="320"/>
      <c r="G216" s="319">
        <f>SUM(G200:G215)</f>
        <v>0</v>
      </c>
      <c r="H216" s="320">
        <f>SUM(H200:H215)</f>
        <v>0</v>
      </c>
      <c r="I216" s="320">
        <f>SUM(I200:I215)</f>
        <v>0</v>
      </c>
      <c r="J216" s="321" t="s">
        <v>242</v>
      </c>
      <c r="K216" s="320"/>
      <c r="L216" s="319">
        <f>SUM(L200:L215)</f>
        <v>0</v>
      </c>
      <c r="M216" s="320">
        <f>SUM(M200:M215)</f>
        <v>0</v>
      </c>
      <c r="N216" s="320">
        <f>SUM(N200:N215)</f>
        <v>0</v>
      </c>
      <c r="O216" s="321" t="s">
        <v>242</v>
      </c>
      <c r="P216" s="320"/>
      <c r="Q216" s="319">
        <f>SUM(Q200:Q215)</f>
        <v>0</v>
      </c>
      <c r="R216" s="320">
        <f>SUM(R200:R215)</f>
        <v>0</v>
      </c>
      <c r="S216" s="320">
        <f>SUM(S200:S215)</f>
        <v>0</v>
      </c>
      <c r="T216" s="321" t="s">
        <v>242</v>
      </c>
    </row>
    <row r="217" spans="1:20" ht="12.75">
      <c r="A217" s="42"/>
      <c r="B217" s="97"/>
      <c r="C217" s="97"/>
      <c r="D217" s="97"/>
      <c r="E217" s="97"/>
      <c r="G217" s="97"/>
      <c r="H217" s="97"/>
      <c r="I217" s="97"/>
      <c r="J217" s="97"/>
      <c r="L217" s="97"/>
      <c r="M217" s="97"/>
      <c r="N217" s="97"/>
      <c r="O217" s="97"/>
      <c r="Q217" s="97"/>
      <c r="R217" s="97"/>
      <c r="S217" s="97"/>
      <c r="T217" s="7"/>
    </row>
    <row r="218" spans="1:20" ht="12.75">
      <c r="A218" s="52" t="s">
        <v>1570</v>
      </c>
      <c r="B218" s="52"/>
      <c r="C218" s="52"/>
      <c r="D218" s="52"/>
      <c r="G218" t="s">
        <v>1557</v>
      </c>
      <c r="I218" s="95">
        <f>B222/3600</f>
        <v>0</v>
      </c>
      <c r="O218" s="97"/>
      <c r="T218" s="7"/>
    </row>
    <row r="219" spans="1:20" ht="12.75">
      <c r="A219" s="42" t="s">
        <v>1558</v>
      </c>
      <c r="B219" s="97" t="s">
        <v>1229</v>
      </c>
      <c r="C219" t="s">
        <v>1554</v>
      </c>
      <c r="D219" s="7" t="s">
        <v>1559</v>
      </c>
      <c r="O219" s="97"/>
      <c r="T219" s="7"/>
    </row>
    <row r="220" spans="1:20" ht="12.75">
      <c r="A220" s="42" t="s">
        <v>1560</v>
      </c>
      <c r="B220" s="97">
        <f>D216</f>
        <v>4683.200000000001</v>
      </c>
      <c r="D220" s="7"/>
      <c r="O220" s="97"/>
      <c r="T220" s="7"/>
    </row>
    <row r="221" spans="1:20" ht="12.75">
      <c r="A221" s="42" t="s">
        <v>1551</v>
      </c>
      <c r="B221" s="97">
        <f>B220-B222-B223-B224</f>
        <v>4683.200000000001</v>
      </c>
      <c r="C221" s="22">
        <f>E200</f>
        <v>0.03333333333333333</v>
      </c>
      <c r="D221" s="7">
        <f>B221*C221</f>
        <v>156.10666666666668</v>
      </c>
      <c r="O221" s="97"/>
      <c r="T221" s="7"/>
    </row>
    <row r="222" spans="1:20" ht="12.75">
      <c r="A222" s="42" t="s">
        <v>1117</v>
      </c>
      <c r="B222" s="97">
        <f>I216</f>
        <v>0</v>
      </c>
      <c r="C222" s="22">
        <f>J200</f>
        <v>0</v>
      </c>
      <c r="D222" s="7">
        <f>B222*C222</f>
        <v>0</v>
      </c>
      <c r="O222" s="97"/>
      <c r="T222" s="7"/>
    </row>
    <row r="223" spans="1:20" ht="12.75">
      <c r="A223" s="42" t="s">
        <v>21</v>
      </c>
      <c r="B223" s="97">
        <f>N216</f>
        <v>0</v>
      </c>
      <c r="C223" s="22">
        <f>O200</f>
        <v>0</v>
      </c>
      <c r="D223" s="7">
        <f>B223*C223</f>
        <v>0</v>
      </c>
      <c r="O223" s="97"/>
      <c r="T223" s="7"/>
    </row>
    <row r="224" spans="1:20" ht="12.75">
      <c r="A224" s="42" t="s">
        <v>1552</v>
      </c>
      <c r="B224" s="97">
        <f>S216</f>
        <v>0</v>
      </c>
      <c r="C224" s="22">
        <f>T200</f>
        <v>2</v>
      </c>
      <c r="D224" s="7">
        <f>B224*C224</f>
        <v>0</v>
      </c>
      <c r="O224" s="97"/>
      <c r="T224" s="7"/>
    </row>
    <row r="225" spans="1:20" ht="12.75">
      <c r="A225" s="42" t="s">
        <v>1561</v>
      </c>
      <c r="B225" s="322">
        <f>B222/B221</f>
        <v>0</v>
      </c>
      <c r="D225" s="7"/>
      <c r="O225" s="97"/>
      <c r="T225" s="7"/>
    </row>
    <row r="226" spans="1:20" ht="12.75">
      <c r="A226" s="77" t="s">
        <v>1555</v>
      </c>
      <c r="B226" s="18"/>
      <c r="C226" s="18"/>
      <c r="D226" s="78">
        <f>SUM(D221:D224)</f>
        <v>156.10666666666668</v>
      </c>
      <c r="O226" s="97"/>
      <c r="T226" s="7"/>
    </row>
    <row r="227" spans="1:20" ht="12.75">
      <c r="A227" s="77"/>
      <c r="B227" s="18"/>
      <c r="C227" s="18"/>
      <c r="D227" s="78"/>
      <c r="O227" s="97"/>
      <c r="T227" s="7"/>
    </row>
    <row r="228" spans="1:20" ht="12.75">
      <c r="A228" s="77" t="s">
        <v>1562</v>
      </c>
      <c r="B228" s="17">
        <f>D226/B220</f>
        <v>0.03333333333333333</v>
      </c>
      <c r="C228" s="77" t="s">
        <v>1563</v>
      </c>
      <c r="D228" s="17">
        <f>1/B228</f>
        <v>30</v>
      </c>
      <c r="E228" s="18"/>
      <c r="F228" s="18"/>
      <c r="G228" s="18"/>
      <c r="H228" s="18"/>
      <c r="I228" s="18"/>
      <c r="J228" s="18"/>
      <c r="K228" s="18"/>
      <c r="L228" s="18"/>
      <c r="M228" s="18"/>
      <c r="N228" s="18"/>
      <c r="O228" s="18"/>
      <c r="P228" s="18"/>
      <c r="Q228" s="18"/>
      <c r="R228" s="18"/>
      <c r="S228" s="18"/>
      <c r="T228" s="78"/>
    </row>
    <row r="231" spans="1:20" ht="12.75">
      <c r="A231" s="4" t="s">
        <v>1571</v>
      </c>
      <c r="B231" s="4"/>
      <c r="C231" s="4"/>
      <c r="D231" s="4"/>
      <c r="E231" s="4"/>
      <c r="F231" s="4"/>
      <c r="G231" s="4"/>
      <c r="H231" s="4"/>
      <c r="I231" s="4"/>
      <c r="J231" s="4"/>
      <c r="K231" s="4"/>
      <c r="L231" s="4"/>
      <c r="M231" s="4"/>
      <c r="N231" s="4"/>
      <c r="O231" s="4"/>
      <c r="P231" s="4"/>
      <c r="Q231" s="4"/>
      <c r="R231" s="4"/>
      <c r="S231" s="4"/>
      <c r="T231" s="4"/>
    </row>
    <row r="232" spans="1:20" ht="12.75">
      <c r="A232" s="233"/>
      <c r="B232" s="233"/>
      <c r="C232" s="233"/>
      <c r="D232" s="233"/>
      <c r="E232" s="233"/>
      <c r="F232" s="233"/>
      <c r="G232" s="233"/>
      <c r="H232" s="233"/>
      <c r="I232" s="233"/>
      <c r="J232" s="233"/>
      <c r="K232" s="233"/>
      <c r="L232" s="233"/>
      <c r="M232" s="233"/>
      <c r="N232" s="233"/>
      <c r="O232" s="233"/>
      <c r="P232" s="233"/>
      <c r="Q232" s="233"/>
      <c r="R232" s="233"/>
      <c r="S232" s="233"/>
      <c r="T232" s="233"/>
    </row>
    <row r="233" spans="1:20" ht="12.75">
      <c r="A233" s="318"/>
      <c r="B233" s="52" t="s">
        <v>937</v>
      </c>
      <c r="C233" s="52"/>
      <c r="D233" s="52"/>
      <c r="E233" s="52"/>
      <c r="F233" s="2"/>
      <c r="G233" s="52"/>
      <c r="H233" s="52"/>
      <c r="I233" s="52"/>
      <c r="J233" s="52"/>
      <c r="K233" s="2"/>
      <c r="L233" s="52"/>
      <c r="M233" s="52"/>
      <c r="N233" s="52"/>
      <c r="O233" s="52"/>
      <c r="P233" s="2"/>
      <c r="Q233" s="52" t="s">
        <v>1552</v>
      </c>
      <c r="R233" s="52"/>
      <c r="S233" s="52"/>
      <c r="T233" s="52"/>
    </row>
    <row r="234" spans="1:20" ht="12.75">
      <c r="A234" s="42"/>
      <c r="B234" s="42" t="s">
        <v>1553</v>
      </c>
      <c r="C234" s="45" t="s">
        <v>1061</v>
      </c>
      <c r="D234" s="45" t="s">
        <v>974</v>
      </c>
      <c r="E234" s="7" t="s">
        <v>1554</v>
      </c>
      <c r="F234" s="45"/>
      <c r="G234" s="42" t="s">
        <v>1553</v>
      </c>
      <c r="H234" t="s">
        <v>1061</v>
      </c>
      <c r="I234" t="s">
        <v>974</v>
      </c>
      <c r="J234" s="7" t="s">
        <v>1554</v>
      </c>
      <c r="L234" s="42" t="s">
        <v>1553</v>
      </c>
      <c r="M234" t="s">
        <v>1061</v>
      </c>
      <c r="N234" t="s">
        <v>974</v>
      </c>
      <c r="O234" s="7" t="s">
        <v>1554</v>
      </c>
      <c r="Q234" s="42" t="s">
        <v>1553</v>
      </c>
      <c r="R234" s="97" t="s">
        <v>1061</v>
      </c>
      <c r="S234" t="s">
        <v>974</v>
      </c>
      <c r="T234" s="7" t="s">
        <v>1554</v>
      </c>
    </row>
    <row r="235" spans="1:20" ht="12.75">
      <c r="A235" s="42"/>
      <c r="B235" s="42">
        <v>96</v>
      </c>
      <c r="C235" s="45">
        <v>36</v>
      </c>
      <c r="D235" s="45">
        <f>B235*C235</f>
        <v>3456</v>
      </c>
      <c r="E235" s="7">
        <f>1/30</f>
        <v>0.03333333333333333</v>
      </c>
      <c r="F235" s="45"/>
      <c r="G235" s="42"/>
      <c r="H235" s="45"/>
      <c r="I235" s="22"/>
      <c r="J235" s="7"/>
      <c r="L235" s="42"/>
      <c r="M235" s="22"/>
      <c r="N235" s="22"/>
      <c r="O235" s="7"/>
      <c r="Q235" s="42">
        <v>0</v>
      </c>
      <c r="R235" s="97">
        <v>0</v>
      </c>
      <c r="S235" s="22">
        <f>Q235*R235</f>
        <v>0</v>
      </c>
      <c r="T235" s="7">
        <f>2/1</f>
        <v>2</v>
      </c>
    </row>
    <row r="236" spans="1:20" ht="12.75">
      <c r="A236" s="42"/>
      <c r="B236" s="42">
        <v>32</v>
      </c>
      <c r="C236" s="45">
        <v>16</v>
      </c>
      <c r="D236" s="45">
        <f>B236*C236</f>
        <v>512</v>
      </c>
      <c r="E236" s="7">
        <f>E235</f>
        <v>0.03333333333333333</v>
      </c>
      <c r="F236" s="45"/>
      <c r="G236" s="42"/>
      <c r="H236" s="45"/>
      <c r="I236" s="22"/>
      <c r="J236" s="7"/>
      <c r="L236" s="42"/>
      <c r="O236" s="7"/>
      <c r="Q236" s="42"/>
      <c r="R236" s="97"/>
      <c r="T236" s="7"/>
    </row>
    <row r="237" spans="1:20" ht="12.75">
      <c r="A237" s="42"/>
      <c r="B237" s="42">
        <v>32</v>
      </c>
      <c r="C237" s="45">
        <v>16</v>
      </c>
      <c r="D237" s="45">
        <f>B237*C237</f>
        <v>512</v>
      </c>
      <c r="E237" s="7">
        <f>E236</f>
        <v>0.03333333333333333</v>
      </c>
      <c r="F237" s="45"/>
      <c r="G237" s="42"/>
      <c r="H237" s="45"/>
      <c r="I237" s="22"/>
      <c r="J237" s="7"/>
      <c r="L237" s="42"/>
      <c r="O237" s="7"/>
      <c r="Q237" s="42"/>
      <c r="R237" s="97"/>
      <c r="T237" s="7"/>
    </row>
    <row r="238" spans="1:20" ht="12.75">
      <c r="A238" s="42"/>
      <c r="B238" s="42"/>
      <c r="C238" s="45"/>
      <c r="D238" s="45"/>
      <c r="E238" s="7"/>
      <c r="F238" s="45"/>
      <c r="G238" s="42"/>
      <c r="H238" s="45"/>
      <c r="I238" s="22"/>
      <c r="J238" s="7"/>
      <c r="L238" s="42"/>
      <c r="O238" s="7"/>
      <c r="Q238" s="42"/>
      <c r="R238" s="97"/>
      <c r="T238" s="7"/>
    </row>
    <row r="239" spans="1:20" ht="12.75">
      <c r="A239" s="42"/>
      <c r="B239" s="42"/>
      <c r="C239" s="45"/>
      <c r="D239" s="45"/>
      <c r="E239" s="7"/>
      <c r="F239" s="45"/>
      <c r="G239" s="42"/>
      <c r="H239" s="45"/>
      <c r="I239" s="22"/>
      <c r="J239" s="7"/>
      <c r="L239" s="42"/>
      <c r="O239" s="7"/>
      <c r="Q239" s="42"/>
      <c r="R239" s="97"/>
      <c r="T239" s="7"/>
    </row>
    <row r="240" spans="1:20" ht="12.75">
      <c r="A240" s="42"/>
      <c r="B240" s="42"/>
      <c r="C240" s="45"/>
      <c r="D240" s="45"/>
      <c r="E240" s="7"/>
      <c r="F240" s="45"/>
      <c r="G240" s="42"/>
      <c r="H240" s="45"/>
      <c r="I240" s="22"/>
      <c r="J240" s="7"/>
      <c r="L240" s="42"/>
      <c r="O240" s="7"/>
      <c r="Q240" s="42"/>
      <c r="R240" s="97"/>
      <c r="T240" s="7"/>
    </row>
    <row r="241" spans="1:20" ht="12.75">
      <c r="A241" s="42"/>
      <c r="B241" s="42"/>
      <c r="E241" s="7"/>
      <c r="G241" s="42"/>
      <c r="H241" s="45"/>
      <c r="I241" s="22"/>
      <c r="J241" s="7"/>
      <c r="L241" s="42"/>
      <c r="O241" s="7"/>
      <c r="Q241" s="42"/>
      <c r="R241" s="97"/>
      <c r="T241" s="7"/>
    </row>
    <row r="242" spans="1:20" ht="12.75">
      <c r="A242" s="42"/>
      <c r="B242" s="42"/>
      <c r="E242" s="7"/>
      <c r="G242" s="42"/>
      <c r="H242" s="45"/>
      <c r="I242" s="22"/>
      <c r="J242" s="7"/>
      <c r="L242" s="42"/>
      <c r="O242" s="7"/>
      <c r="Q242" s="42"/>
      <c r="R242" s="97"/>
      <c r="T242" s="7"/>
    </row>
    <row r="243" spans="1:20" ht="12.75">
      <c r="A243" s="42"/>
      <c r="B243" s="42"/>
      <c r="E243" s="7"/>
      <c r="G243" s="42"/>
      <c r="H243" s="22"/>
      <c r="I243" s="22"/>
      <c r="J243" s="7"/>
      <c r="L243" s="42"/>
      <c r="O243" s="7"/>
      <c r="Q243" s="42"/>
      <c r="R243" s="97"/>
      <c r="T243" s="7"/>
    </row>
    <row r="244" spans="1:20" ht="12.75">
      <c r="A244" s="42"/>
      <c r="B244" s="42"/>
      <c r="E244" s="7"/>
      <c r="G244" s="42"/>
      <c r="H244" s="22"/>
      <c r="I244" s="22"/>
      <c r="J244" s="7"/>
      <c r="L244" s="42"/>
      <c r="O244" s="7"/>
      <c r="Q244" s="42"/>
      <c r="R244" s="97"/>
      <c r="T244" s="7"/>
    </row>
    <row r="245" spans="1:20" ht="12.75">
      <c r="A245" s="42"/>
      <c r="B245" s="42"/>
      <c r="E245" s="7"/>
      <c r="G245" s="42"/>
      <c r="H245" s="22"/>
      <c r="I245" s="22"/>
      <c r="J245" s="7"/>
      <c r="L245" s="42"/>
      <c r="O245" s="7"/>
      <c r="Q245" s="42"/>
      <c r="R245" s="97"/>
      <c r="T245" s="7"/>
    </row>
    <row r="246" spans="1:20" ht="12.75">
      <c r="A246" s="42"/>
      <c r="B246" s="42"/>
      <c r="E246" s="7"/>
      <c r="G246" s="42"/>
      <c r="H246" s="22"/>
      <c r="I246" s="22"/>
      <c r="J246" s="7"/>
      <c r="L246" s="42"/>
      <c r="O246" s="7"/>
      <c r="Q246" s="42"/>
      <c r="R246" s="97"/>
      <c r="T246" s="7"/>
    </row>
    <row r="247" spans="1:20" ht="12.75">
      <c r="A247" s="42"/>
      <c r="B247" s="42"/>
      <c r="E247" s="7"/>
      <c r="G247" s="42"/>
      <c r="I247" s="22"/>
      <c r="J247" s="7"/>
      <c r="L247" s="42"/>
      <c r="O247" s="7"/>
      <c r="Q247" s="42"/>
      <c r="R247" s="97"/>
      <c r="T247" s="7"/>
    </row>
    <row r="248" spans="1:20" ht="12.75">
      <c r="A248" s="42"/>
      <c r="B248" s="42"/>
      <c r="E248" s="7"/>
      <c r="G248" s="42"/>
      <c r="I248" s="22"/>
      <c r="J248" s="7"/>
      <c r="L248" s="42"/>
      <c r="O248" s="7"/>
      <c r="Q248" s="42"/>
      <c r="R248" s="97"/>
      <c r="T248" s="7"/>
    </row>
    <row r="249" spans="1:20" ht="12.75">
      <c r="A249" s="42"/>
      <c r="B249" s="42"/>
      <c r="E249" s="7"/>
      <c r="G249" s="42"/>
      <c r="I249" s="22"/>
      <c r="J249" s="7"/>
      <c r="L249" s="42"/>
      <c r="O249" s="7"/>
      <c r="Q249" s="42"/>
      <c r="R249" s="97"/>
      <c r="T249" s="7"/>
    </row>
    <row r="250" spans="1:20" ht="12.75">
      <c r="A250" s="42"/>
      <c r="B250" s="42"/>
      <c r="C250" s="97"/>
      <c r="D250" s="97"/>
      <c r="E250" s="7"/>
      <c r="G250" s="42"/>
      <c r="I250" s="22"/>
      <c r="J250" s="7"/>
      <c r="L250" s="42"/>
      <c r="O250" s="7"/>
      <c r="Q250" s="42"/>
      <c r="R250" s="97"/>
      <c r="T250" s="7"/>
    </row>
    <row r="251" spans="1:20" ht="12.75">
      <c r="A251" s="319" t="s">
        <v>1555</v>
      </c>
      <c r="B251" s="319">
        <f>SUM(B235:B250)</f>
        <v>160</v>
      </c>
      <c r="C251" s="320">
        <f>SUM(C235:C250)</f>
        <v>68</v>
      </c>
      <c r="D251" s="320">
        <f>SUM(D235:D250)</f>
        <v>4480</v>
      </c>
      <c r="E251" s="321" t="s">
        <v>242</v>
      </c>
      <c r="F251" s="320"/>
      <c r="G251" s="319">
        <f>SUM(G235:G250)</f>
        <v>0</v>
      </c>
      <c r="H251" s="320">
        <f>SUM(H235:H250)</f>
        <v>0</v>
      </c>
      <c r="I251" s="320">
        <f>SUM(I235:I250)</f>
        <v>0</v>
      </c>
      <c r="J251" s="321" t="s">
        <v>242</v>
      </c>
      <c r="K251" s="320"/>
      <c r="L251" s="319">
        <f>SUM(L235:L250)</f>
        <v>0</v>
      </c>
      <c r="M251" s="320">
        <f>SUM(M235:M250)</f>
        <v>0</v>
      </c>
      <c r="N251" s="320">
        <f>SUM(N235:N250)</f>
        <v>0</v>
      </c>
      <c r="O251" s="321" t="s">
        <v>242</v>
      </c>
      <c r="P251" s="320"/>
      <c r="Q251" s="319">
        <f>SUM(Q235:Q250)</f>
        <v>0</v>
      </c>
      <c r="R251" s="320">
        <f>SUM(R235:R250)</f>
        <v>0</v>
      </c>
      <c r="S251" s="320">
        <f>SUM(S235:S250)</f>
        <v>0</v>
      </c>
      <c r="T251" s="321" t="s">
        <v>242</v>
      </c>
    </row>
    <row r="252" spans="1:20" ht="12.75">
      <c r="A252" s="42"/>
      <c r="B252" s="97"/>
      <c r="C252" s="97"/>
      <c r="D252" s="97"/>
      <c r="E252" s="97"/>
      <c r="G252" s="97"/>
      <c r="H252" s="97"/>
      <c r="I252" s="97"/>
      <c r="J252" s="97"/>
      <c r="L252" s="97"/>
      <c r="M252" s="97"/>
      <c r="N252" s="97"/>
      <c r="O252" s="97"/>
      <c r="Q252" s="97"/>
      <c r="R252" s="97"/>
      <c r="S252" s="97"/>
      <c r="T252" s="7"/>
    </row>
    <row r="253" spans="1:20" ht="12.75">
      <c r="A253" s="52" t="s">
        <v>1571</v>
      </c>
      <c r="B253" s="52"/>
      <c r="C253" s="52"/>
      <c r="D253" s="52"/>
      <c r="G253" t="s">
        <v>1557</v>
      </c>
      <c r="I253" s="95">
        <f>B257/3600</f>
        <v>0</v>
      </c>
      <c r="O253" s="97"/>
      <c r="T253" s="7"/>
    </row>
    <row r="254" spans="1:20" ht="12.75">
      <c r="A254" s="42" t="s">
        <v>1558</v>
      </c>
      <c r="B254" s="97" t="s">
        <v>1229</v>
      </c>
      <c r="C254" t="s">
        <v>1554</v>
      </c>
      <c r="D254" s="7" t="s">
        <v>1559</v>
      </c>
      <c r="O254" s="97"/>
      <c r="T254" s="7"/>
    </row>
    <row r="255" spans="1:20" ht="12.75">
      <c r="A255" s="42" t="s">
        <v>1560</v>
      </c>
      <c r="B255" s="97">
        <f>D251</f>
        <v>4480</v>
      </c>
      <c r="D255" s="7"/>
      <c r="O255" s="97"/>
      <c r="T255" s="7"/>
    </row>
    <row r="256" spans="1:20" ht="12.75">
      <c r="A256" s="42" t="s">
        <v>1551</v>
      </c>
      <c r="B256" s="97">
        <f>B255-B257-B258-B259</f>
        <v>4480</v>
      </c>
      <c r="C256" s="22">
        <f>E235</f>
        <v>0.03333333333333333</v>
      </c>
      <c r="D256" s="7">
        <f>B256*C256</f>
        <v>149.33333333333334</v>
      </c>
      <c r="O256" s="97"/>
      <c r="T256" s="7"/>
    </row>
    <row r="257" spans="1:20" ht="12.75">
      <c r="A257" s="42" t="s">
        <v>1117</v>
      </c>
      <c r="B257" s="97">
        <f>I251</f>
        <v>0</v>
      </c>
      <c r="C257" s="22">
        <f>J235</f>
        <v>0</v>
      </c>
      <c r="D257" s="7">
        <f>B257*C257</f>
        <v>0</v>
      </c>
      <c r="O257" s="97"/>
      <c r="T257" s="7"/>
    </row>
    <row r="258" spans="1:20" ht="12.75">
      <c r="A258" s="42" t="s">
        <v>21</v>
      </c>
      <c r="B258" s="97">
        <f>N251</f>
        <v>0</v>
      </c>
      <c r="C258" s="22">
        <f>O235</f>
        <v>0</v>
      </c>
      <c r="D258" s="7">
        <f>B258*C258</f>
        <v>0</v>
      </c>
      <c r="O258" s="97"/>
      <c r="T258" s="7"/>
    </row>
    <row r="259" spans="1:20" ht="12.75">
      <c r="A259" s="42" t="s">
        <v>1552</v>
      </c>
      <c r="B259" s="97">
        <f>S251</f>
        <v>0</v>
      </c>
      <c r="C259" s="22">
        <f>T235</f>
        <v>2</v>
      </c>
      <c r="D259" s="7">
        <f>B259*C259</f>
        <v>0</v>
      </c>
      <c r="O259" s="97"/>
      <c r="T259" s="7"/>
    </row>
    <row r="260" spans="1:20" ht="12.75">
      <c r="A260" s="42" t="s">
        <v>1561</v>
      </c>
      <c r="B260" s="322">
        <f>B257/B256</f>
        <v>0</v>
      </c>
      <c r="D260" s="7"/>
      <c r="O260" s="97"/>
      <c r="T260" s="7"/>
    </row>
    <row r="261" spans="1:20" ht="12.75">
      <c r="A261" s="77" t="s">
        <v>1555</v>
      </c>
      <c r="B261" s="18"/>
      <c r="C261" s="18"/>
      <c r="D261" s="78">
        <f>SUM(D256:D259)</f>
        <v>149.33333333333334</v>
      </c>
      <c r="O261" s="97"/>
      <c r="T261" s="7"/>
    </row>
    <row r="262" spans="1:20" ht="12.75">
      <c r="A262" s="77"/>
      <c r="B262" s="18"/>
      <c r="C262" s="18"/>
      <c r="D262" s="78"/>
      <c r="O262" s="97"/>
      <c r="T262" s="7"/>
    </row>
    <row r="263" spans="1:20" ht="12.75">
      <c r="A263" s="77" t="s">
        <v>1562</v>
      </c>
      <c r="B263" s="17">
        <f>D261/B255</f>
        <v>0.03333333333333333</v>
      </c>
      <c r="C263" s="77" t="s">
        <v>1563</v>
      </c>
      <c r="D263" s="17">
        <f>1/B263</f>
        <v>30</v>
      </c>
      <c r="E263" s="18"/>
      <c r="F263" s="18"/>
      <c r="G263" s="18"/>
      <c r="H263" s="18"/>
      <c r="I263" s="18"/>
      <c r="J263" s="18"/>
      <c r="K263" s="18"/>
      <c r="L263" s="18"/>
      <c r="M263" s="18"/>
      <c r="N263" s="18"/>
      <c r="O263" s="18"/>
      <c r="P263" s="18"/>
      <c r="Q263" s="18"/>
      <c r="R263" s="18"/>
      <c r="S263" s="18"/>
      <c r="T263" s="78"/>
    </row>
    <row r="266" spans="1:20" ht="12.75">
      <c r="A266" s="4" t="s">
        <v>1572</v>
      </c>
      <c r="B266" s="4"/>
      <c r="C266" s="4"/>
      <c r="D266" s="4"/>
      <c r="E266" s="4"/>
      <c r="F266" s="4"/>
      <c r="G266" s="4"/>
      <c r="H266" s="4"/>
      <c r="I266" s="4"/>
      <c r="J266" s="4"/>
      <c r="K266" s="4"/>
      <c r="L266" s="4"/>
      <c r="M266" s="4"/>
      <c r="N266" s="4"/>
      <c r="O266" s="4"/>
      <c r="P266" s="4"/>
      <c r="Q266" s="4"/>
      <c r="R266" s="4"/>
      <c r="S266" s="4"/>
      <c r="T266" s="4"/>
    </row>
    <row r="267" spans="1:20" ht="12.75">
      <c r="A267" s="233"/>
      <c r="B267" s="233"/>
      <c r="C267" s="233"/>
      <c r="D267" s="233"/>
      <c r="E267" s="233"/>
      <c r="F267" s="233"/>
      <c r="G267" s="233"/>
      <c r="H267" s="233"/>
      <c r="I267" s="233"/>
      <c r="J267" s="233"/>
      <c r="K267" s="233"/>
      <c r="L267" s="233"/>
      <c r="M267" s="233"/>
      <c r="N267" s="233"/>
      <c r="O267" s="233"/>
      <c r="P267" s="233"/>
      <c r="Q267" s="233"/>
      <c r="R267" s="233"/>
      <c r="S267" s="233"/>
      <c r="T267" s="233"/>
    </row>
    <row r="268" spans="1:20" ht="12.75">
      <c r="A268" s="318"/>
      <c r="B268" s="52" t="s">
        <v>1573</v>
      </c>
      <c r="C268" s="52"/>
      <c r="D268" s="52"/>
      <c r="E268" s="52"/>
      <c r="F268" s="2"/>
      <c r="G268" s="52"/>
      <c r="H268" s="52"/>
      <c r="I268" s="52"/>
      <c r="J268" s="52"/>
      <c r="K268" s="2"/>
      <c r="L268" s="52"/>
      <c r="M268" s="52"/>
      <c r="N268" s="52"/>
      <c r="O268" s="52"/>
      <c r="P268" s="2"/>
      <c r="Q268" s="52" t="s">
        <v>1552</v>
      </c>
      <c r="R268" s="52"/>
      <c r="S268" s="52"/>
      <c r="T268" s="52"/>
    </row>
    <row r="269" spans="1:20" ht="12.75">
      <c r="A269" s="42"/>
      <c r="B269" s="42" t="s">
        <v>1558</v>
      </c>
      <c r="C269" s="97" t="s">
        <v>1229</v>
      </c>
      <c r="D269" t="s">
        <v>1554</v>
      </c>
      <c r="E269" s="7" t="s">
        <v>1559</v>
      </c>
      <c r="F269" s="45"/>
      <c r="G269" s="42" t="s">
        <v>1553</v>
      </c>
      <c r="H269" t="s">
        <v>1061</v>
      </c>
      <c r="I269" t="s">
        <v>974</v>
      </c>
      <c r="J269" s="7" t="s">
        <v>1554</v>
      </c>
      <c r="L269" s="42" t="s">
        <v>1553</v>
      </c>
      <c r="M269" t="s">
        <v>1061</v>
      </c>
      <c r="N269" t="s">
        <v>974</v>
      </c>
      <c r="O269" s="7" t="s">
        <v>1554</v>
      </c>
      <c r="Q269" s="42" t="s">
        <v>1553</v>
      </c>
      <c r="R269" s="97" t="s">
        <v>1061</v>
      </c>
      <c r="S269" t="s">
        <v>974</v>
      </c>
      <c r="T269" s="7" t="s">
        <v>1554</v>
      </c>
    </row>
    <row r="270" spans="1:20" ht="12.75">
      <c r="A270" s="42"/>
      <c r="B270" s="42" t="s">
        <v>1574</v>
      </c>
      <c r="C270" s="97">
        <f>B80</f>
        <v>984</v>
      </c>
      <c r="D270" s="22">
        <f>B88</f>
        <v>0.06979270491724733</v>
      </c>
      <c r="E270" s="7">
        <f>C270*D270</f>
        <v>68.67602163857137</v>
      </c>
      <c r="F270" s="45"/>
      <c r="G270" s="42"/>
      <c r="H270" s="45"/>
      <c r="I270" s="22"/>
      <c r="J270" s="7"/>
      <c r="L270" s="42"/>
      <c r="M270" s="22"/>
      <c r="N270" s="22"/>
      <c r="O270" s="7"/>
      <c r="Q270" s="42">
        <v>0</v>
      </c>
      <c r="R270" s="97">
        <v>0</v>
      </c>
      <c r="S270" s="22">
        <f>Q270*R270</f>
        <v>0</v>
      </c>
      <c r="T270" s="7">
        <f>2/1</f>
        <v>2</v>
      </c>
    </row>
    <row r="271" spans="1:20" ht="12.75">
      <c r="A271" s="42"/>
      <c r="B271" s="42" t="s">
        <v>1575</v>
      </c>
      <c r="C271" s="97">
        <f>B115</f>
        <v>1144</v>
      </c>
      <c r="D271" s="22">
        <f>B123</f>
        <v>0.14194721214819656</v>
      </c>
      <c r="E271" s="7">
        <f>C271*D271</f>
        <v>162.38761069753687</v>
      </c>
      <c r="F271" s="45"/>
      <c r="G271" s="42"/>
      <c r="H271" s="45"/>
      <c r="I271" s="22"/>
      <c r="J271" s="7"/>
      <c r="L271" s="42"/>
      <c r="O271" s="7"/>
      <c r="Q271" s="42"/>
      <c r="R271" s="97"/>
      <c r="T271" s="7"/>
    </row>
    <row r="272" spans="1:20" ht="12.75">
      <c r="A272" s="42"/>
      <c r="B272" s="42" t="s">
        <v>1576</v>
      </c>
      <c r="C272" s="97">
        <f>B150</f>
        <v>632</v>
      </c>
      <c r="D272" s="22">
        <f>B158</f>
        <v>0.06191994032484398</v>
      </c>
      <c r="E272" s="7">
        <f>C272*D272</f>
        <v>39.13340228530139</v>
      </c>
      <c r="F272" s="45"/>
      <c r="G272" s="42"/>
      <c r="H272" s="45"/>
      <c r="I272" s="22"/>
      <c r="J272" s="7"/>
      <c r="L272" s="42"/>
      <c r="O272" s="7"/>
      <c r="Q272" s="42"/>
      <c r="R272" s="97"/>
      <c r="T272" s="7"/>
    </row>
    <row r="273" spans="1:20" ht="12.75">
      <c r="A273" s="42"/>
      <c r="B273" s="42" t="s">
        <v>1577</v>
      </c>
      <c r="C273" s="97">
        <f>B185</f>
        <v>760</v>
      </c>
      <c r="D273" s="22">
        <f>B193</f>
        <v>0.04533597197104308</v>
      </c>
      <c r="E273" s="7">
        <f>C273*D273</f>
        <v>34.455338697992744</v>
      </c>
      <c r="F273" s="45"/>
      <c r="G273" s="42"/>
      <c r="H273" s="45"/>
      <c r="I273" s="22"/>
      <c r="J273" s="7"/>
      <c r="L273" s="42"/>
      <c r="O273" s="7"/>
      <c r="Q273" s="42"/>
      <c r="R273" s="97"/>
      <c r="T273" s="7"/>
    </row>
    <row r="274" spans="1:20" ht="12.75">
      <c r="A274" s="42"/>
      <c r="B274" s="42" t="s">
        <v>937</v>
      </c>
      <c r="C274" s="97">
        <f>B220</f>
        <v>4683.200000000001</v>
      </c>
      <c r="D274" s="22">
        <f>B228</f>
        <v>0.03333333333333333</v>
      </c>
      <c r="E274" s="7">
        <f>C274*D274</f>
        <v>156.10666666666668</v>
      </c>
      <c r="F274" s="45"/>
      <c r="G274" s="42"/>
      <c r="H274" s="45"/>
      <c r="I274" s="22"/>
      <c r="J274" s="7"/>
      <c r="L274" s="42"/>
      <c r="O274" s="7"/>
      <c r="Q274" s="42"/>
      <c r="R274" s="97"/>
      <c r="T274" s="7"/>
    </row>
    <row r="275" spans="1:20" ht="12.75">
      <c r="A275" s="42"/>
      <c r="B275" s="42" t="s">
        <v>1578</v>
      </c>
      <c r="C275" s="97">
        <f>B255</f>
        <v>4480</v>
      </c>
      <c r="D275" s="22">
        <f>B263</f>
        <v>0.03333333333333333</v>
      </c>
      <c r="E275" s="7">
        <f>C275*D275</f>
        <v>149.33333333333334</v>
      </c>
      <c r="F275" s="45"/>
      <c r="G275" s="42"/>
      <c r="H275" s="45"/>
      <c r="I275" s="22"/>
      <c r="J275" s="7"/>
      <c r="L275" s="42"/>
      <c r="O275" s="7"/>
      <c r="Q275" s="42"/>
      <c r="R275" s="97"/>
      <c r="T275" s="7"/>
    </row>
    <row r="276" spans="1:20" ht="12.75">
      <c r="A276" s="42"/>
      <c r="B276" s="77"/>
      <c r="C276" s="18"/>
      <c r="D276" s="18"/>
      <c r="E276" s="78"/>
      <c r="G276" s="42"/>
      <c r="H276" s="45"/>
      <c r="I276" s="22"/>
      <c r="J276" s="7"/>
      <c r="L276" s="42"/>
      <c r="O276" s="7"/>
      <c r="Q276" s="42"/>
      <c r="R276" s="97"/>
      <c r="T276" s="7"/>
    </row>
    <row r="277" spans="1:20" ht="12.75">
      <c r="A277" s="42"/>
      <c r="B277" s="77" t="s">
        <v>1555</v>
      </c>
      <c r="C277" s="17">
        <f>SUM(C270:C275)</f>
        <v>12683.2</v>
      </c>
      <c r="D277" s="18"/>
      <c r="E277" s="17">
        <f>SUM(E270:E275)</f>
        <v>610.0923733194024</v>
      </c>
      <c r="G277" s="42"/>
      <c r="H277" s="45"/>
      <c r="I277" s="22"/>
      <c r="J277" s="7"/>
      <c r="L277" s="42"/>
      <c r="O277" s="7"/>
      <c r="Q277" s="42"/>
      <c r="R277" s="97"/>
      <c r="T277" s="7"/>
    </row>
    <row r="278" spans="1:20" ht="12.75">
      <c r="A278" s="42"/>
      <c r="B278" s="77"/>
      <c r="C278" s="18"/>
      <c r="D278" s="77"/>
      <c r="E278" s="18"/>
      <c r="G278" s="42"/>
      <c r="H278" s="22"/>
      <c r="I278" s="22"/>
      <c r="J278" s="7"/>
      <c r="L278" s="42"/>
      <c r="O278" s="7"/>
      <c r="Q278" s="42"/>
      <c r="R278" s="97"/>
      <c r="T278" s="7"/>
    </row>
    <row r="279" spans="1:20" ht="12.75">
      <c r="A279" s="42"/>
      <c r="B279" s="42" t="s">
        <v>1579</v>
      </c>
      <c r="E279" s="7">
        <f>E277*24</f>
        <v>14642.216959665659</v>
      </c>
      <c r="G279" s="42">
        <f>E279/2</f>
        <v>7321.108479832829</v>
      </c>
      <c r="H279" s="22"/>
      <c r="I279" s="22"/>
      <c r="J279" s="7"/>
      <c r="L279" s="42"/>
      <c r="O279" s="7"/>
      <c r="Q279" s="42"/>
      <c r="R279" s="97"/>
      <c r="T279" s="7"/>
    </row>
    <row r="280" spans="1:20" ht="12.75">
      <c r="A280" s="42"/>
      <c r="B280" s="42"/>
      <c r="E280" s="7"/>
      <c r="G280" s="42">
        <f>G279*30</f>
        <v>219633.2543949849</v>
      </c>
      <c r="H280" s="22"/>
      <c r="I280" s="22"/>
      <c r="J280" s="7"/>
      <c r="L280" s="42"/>
      <c r="O280" s="7"/>
      <c r="Q280" s="42"/>
      <c r="R280" s="97"/>
      <c r="T280" s="7"/>
    </row>
    <row r="281" spans="1:20" ht="12.75">
      <c r="A281" s="42"/>
      <c r="B281" s="42" t="s">
        <v>1580</v>
      </c>
      <c r="E281" s="7">
        <v>5400</v>
      </c>
      <c r="G281" s="42">
        <f>G280/8.3454</f>
        <v>26317.88223392347</v>
      </c>
      <c r="H281" s="22"/>
      <c r="I281" s="22"/>
      <c r="J281" s="7"/>
      <c r="L281" s="42"/>
      <c r="O281" s="7"/>
      <c r="Q281" s="42"/>
      <c r="R281" s="97"/>
      <c r="T281" s="7"/>
    </row>
    <row r="282" spans="1:20" ht="12.75">
      <c r="A282" s="42"/>
      <c r="B282" s="42"/>
      <c r="E282" s="7">
        <v>4500</v>
      </c>
      <c r="G282" s="42">
        <f>G281/50</f>
        <v>526.3576446784693</v>
      </c>
      <c r="I282" s="22"/>
      <c r="J282" s="7"/>
      <c r="L282" s="42"/>
      <c r="O282" s="7"/>
      <c r="Q282" s="42"/>
      <c r="R282" s="97"/>
      <c r="T282" s="7"/>
    </row>
    <row r="283" spans="1:20" ht="12.75">
      <c r="A283" s="42"/>
      <c r="B283" s="42" t="s">
        <v>1581</v>
      </c>
      <c r="E283" s="7">
        <f>E279*E281</f>
        <v>79067971.58219455</v>
      </c>
      <c r="G283" s="42"/>
      <c r="H283" s="22"/>
      <c r="I283" s="22"/>
      <c r="J283" s="7"/>
      <c r="L283" s="42"/>
      <c r="O283" s="7"/>
      <c r="Q283" s="42"/>
      <c r="R283" s="97"/>
      <c r="T283" s="7"/>
    </row>
    <row r="284" spans="1:20" ht="12.75">
      <c r="A284" s="42"/>
      <c r="B284" s="42" t="s">
        <v>1582</v>
      </c>
      <c r="E284" s="7">
        <f>E279*E282</f>
        <v>65889976.31849547</v>
      </c>
      <c r="G284" s="42"/>
      <c r="H284" s="22"/>
      <c r="I284" s="22"/>
      <c r="J284" s="7"/>
      <c r="L284" s="42"/>
      <c r="O284" s="7"/>
      <c r="Q284" s="42"/>
      <c r="R284" s="97"/>
      <c r="T284" s="7"/>
    </row>
    <row r="285" spans="1:20" ht="12.75">
      <c r="A285" s="42"/>
      <c r="B285" s="42"/>
      <c r="C285" s="97"/>
      <c r="D285" s="97"/>
      <c r="E285" s="7"/>
      <c r="G285" s="42"/>
      <c r="H285" s="22"/>
      <c r="I285" s="22"/>
      <c r="J285" s="7"/>
      <c r="L285" s="42"/>
      <c r="O285" s="7"/>
      <c r="Q285" s="42"/>
      <c r="R285" s="97"/>
      <c r="T285" s="7"/>
    </row>
    <row r="286" spans="1:20" ht="12.75">
      <c r="A286" s="319"/>
      <c r="B286" s="319"/>
      <c r="C286" s="320"/>
      <c r="D286" s="320"/>
      <c r="E286" s="321"/>
      <c r="F286" s="320"/>
      <c r="G286" s="319"/>
      <c r="H286" s="320"/>
      <c r="I286" s="320"/>
      <c r="J286" s="321"/>
      <c r="K286" s="320"/>
      <c r="L286" s="319"/>
      <c r="M286" s="320"/>
      <c r="N286" s="320"/>
      <c r="O286" s="321"/>
      <c r="P286" s="320"/>
      <c r="Q286" s="319"/>
      <c r="R286" s="320"/>
      <c r="S286" s="320"/>
      <c r="T286" s="321" t="s">
        <v>242</v>
      </c>
    </row>
    <row r="287" spans="1:20" ht="12.75">
      <c r="A287" s="125" t="s">
        <v>1583</v>
      </c>
      <c r="B287" s="125"/>
      <c r="C287" s="125"/>
      <c r="D287" s="125"/>
      <c r="E287" s="125"/>
      <c r="F287" s="2"/>
      <c r="G287" s="323" t="s">
        <v>1584</v>
      </c>
      <c r="H287" s="323"/>
      <c r="I287" s="323"/>
      <c r="J287" s="323"/>
      <c r="K287" s="2"/>
      <c r="L287" s="323" t="s">
        <v>1585</v>
      </c>
      <c r="M287" s="323"/>
      <c r="N287" s="323"/>
      <c r="O287" s="323"/>
      <c r="P287" s="2"/>
      <c r="Q287" s="324"/>
      <c r="R287" s="324"/>
      <c r="S287" s="324"/>
      <c r="T287" s="325"/>
    </row>
    <row r="288" spans="1:20" ht="12.75">
      <c r="A288" s="318" t="s">
        <v>1586</v>
      </c>
      <c r="B288" s="324">
        <v>3412.14</v>
      </c>
      <c r="C288" s="2" t="s">
        <v>1587</v>
      </c>
      <c r="D288" s="326"/>
      <c r="G288" t="s">
        <v>1588</v>
      </c>
      <c r="I288">
        <v>45</v>
      </c>
      <c r="L288" t="s">
        <v>1589</v>
      </c>
      <c r="N288">
        <v>8.3454</v>
      </c>
      <c r="O288" s="97"/>
      <c r="T288" s="7"/>
    </row>
    <row r="289" spans="1:20" ht="12.75">
      <c r="A289" s="42" t="s">
        <v>1590</v>
      </c>
      <c r="B289" s="97">
        <v>0.24477000000000002</v>
      </c>
      <c r="D289" s="7"/>
      <c r="G289" t="s">
        <v>1591</v>
      </c>
      <c r="I289" s="22">
        <f>I288*E277</f>
        <v>27454.15679937311</v>
      </c>
      <c r="L289" t="s">
        <v>1592</v>
      </c>
      <c r="N289" s="57">
        <f>E279*(7/24)</f>
        <v>4270.646613235817</v>
      </c>
      <c r="O289" s="97"/>
      <c r="T289" s="7"/>
    </row>
    <row r="290" spans="1:20" ht="12.75">
      <c r="A290" s="42" t="s">
        <v>1593</v>
      </c>
      <c r="B290" s="97">
        <v>0.061180000000000005</v>
      </c>
      <c r="D290" s="7"/>
      <c r="G290" t="s">
        <v>1594</v>
      </c>
      <c r="I290">
        <v>40</v>
      </c>
      <c r="L290" t="s">
        <v>1595</v>
      </c>
      <c r="N290">
        <v>30</v>
      </c>
      <c r="O290" s="97"/>
      <c r="T290" s="7"/>
    </row>
    <row r="291" spans="1:20" ht="12.75">
      <c r="A291" s="42" t="s">
        <v>1596</v>
      </c>
      <c r="B291" s="97">
        <v>0.13817000000000002</v>
      </c>
      <c r="C291" s="22"/>
      <c r="D291" s="7"/>
      <c r="G291" t="s">
        <v>1597</v>
      </c>
      <c r="I291" s="22">
        <f>I290*E277</f>
        <v>24403.694932776096</v>
      </c>
      <c r="L291" t="s">
        <v>1598</v>
      </c>
      <c r="N291" s="22">
        <f>N289*N290</f>
        <v>128119.39839707452</v>
      </c>
      <c r="O291" s="97"/>
      <c r="T291" s="7"/>
    </row>
    <row r="292" spans="1:20" ht="12.75">
      <c r="A292" s="42"/>
      <c r="B292" s="97"/>
      <c r="C292" s="22"/>
      <c r="D292" s="7"/>
      <c r="G292" t="s">
        <v>1599</v>
      </c>
      <c r="I292" s="22">
        <f>I291/12000</f>
        <v>2.033641244398008</v>
      </c>
      <c r="L292" t="s">
        <v>1600</v>
      </c>
      <c r="N292">
        <v>30</v>
      </c>
      <c r="O292" s="97"/>
      <c r="T292" s="7"/>
    </row>
    <row r="293" spans="1:20" ht="12.75">
      <c r="A293" t="s">
        <v>1601</v>
      </c>
      <c r="B293">
        <v>2</v>
      </c>
      <c r="C293" s="22"/>
      <c r="D293" s="7"/>
      <c r="O293" s="97"/>
      <c r="T293" s="7"/>
    </row>
    <row r="294" spans="1:20" ht="12.75">
      <c r="A294" t="s">
        <v>1602</v>
      </c>
      <c r="B294">
        <v>3.5</v>
      </c>
      <c r="C294" s="22"/>
      <c r="D294" s="7"/>
      <c r="L294" t="s">
        <v>1603</v>
      </c>
      <c r="N294" s="22">
        <f>N291/N292/N288</f>
        <v>511.7365989929563</v>
      </c>
      <c r="O294" s="97"/>
      <c r="T294" s="7"/>
    </row>
    <row r="295" spans="1:20" ht="12.75">
      <c r="A295" s="42" t="s">
        <v>1604</v>
      </c>
      <c r="B295" s="97">
        <f>(E283/B288)*B291/B293</f>
        <v>1600.8753500020255</v>
      </c>
      <c r="D295" s="7"/>
      <c r="O295" s="97"/>
      <c r="T295" s="7"/>
    </row>
    <row r="296" spans="1:20" ht="12.75">
      <c r="A296" s="42" t="s">
        <v>1605</v>
      </c>
      <c r="B296" s="97">
        <f>(E284/B288)*B291/B294</f>
        <v>762.3215952390599</v>
      </c>
      <c r="C296" s="18"/>
      <c r="D296" s="78"/>
      <c r="O296" s="97"/>
      <c r="T296" s="7"/>
    </row>
    <row r="297" spans="1:20" ht="12.75">
      <c r="A297" s="77" t="s">
        <v>1606</v>
      </c>
      <c r="B297" s="17">
        <f>B295+B296</f>
        <v>2363.1969452410854</v>
      </c>
      <c r="C297" s="18"/>
      <c r="D297" s="78"/>
      <c r="O297" s="97"/>
      <c r="T297" s="7"/>
    </row>
    <row r="298" spans="1:20" ht="12.75">
      <c r="A298" s="77" t="s">
        <v>1607</v>
      </c>
      <c r="B298" s="17">
        <f>B297/12</f>
        <v>196.93307877009045</v>
      </c>
      <c r="C298" s="77"/>
      <c r="D298" s="18"/>
      <c r="E298" s="18"/>
      <c r="F298" s="18"/>
      <c r="G298" s="18"/>
      <c r="H298" s="18"/>
      <c r="I298" s="18"/>
      <c r="J298" s="18"/>
      <c r="K298" s="18"/>
      <c r="L298" s="18"/>
      <c r="M298" s="18"/>
      <c r="N298" s="18"/>
      <c r="O298" s="18"/>
      <c r="P298" s="18"/>
      <c r="Q298" s="18"/>
      <c r="R298" s="18"/>
      <c r="S298" s="18"/>
      <c r="T298" s="78"/>
    </row>
    <row r="303" spans="1:9" ht="12.75">
      <c r="A303" t="s">
        <v>1608</v>
      </c>
      <c r="B303" t="s">
        <v>1609</v>
      </c>
      <c r="C303" s="22">
        <f>11.83*16.9</f>
        <v>199.927</v>
      </c>
      <c r="D303" s="22">
        <f>12*8/12/12</f>
        <v>0.6666666666666666</v>
      </c>
      <c r="H303" t="s">
        <v>1610</v>
      </c>
      <c r="I303" s="22">
        <f>512/3620</f>
        <v>0.1414364640883978</v>
      </c>
    </row>
    <row r="304" spans="1:9" ht="12.75">
      <c r="A304" t="s">
        <v>1611</v>
      </c>
      <c r="C304" s="22">
        <f>C303/3600</f>
        <v>0.055535277777777774</v>
      </c>
      <c r="H304" t="s">
        <v>1612</v>
      </c>
      <c r="I304" s="22">
        <f>I303*I292</f>
        <v>0.28763102683198344</v>
      </c>
    </row>
    <row r="305" spans="1:9" ht="12.75">
      <c r="A305" t="s">
        <v>1613</v>
      </c>
      <c r="C305" s="22">
        <f>I289*C304</f>
        <v>1524.6742240078522</v>
      </c>
      <c r="H305" t="s">
        <v>1614</v>
      </c>
      <c r="I305" s="22">
        <f>I304*12000</f>
        <v>3451.5723219838014</v>
      </c>
    </row>
    <row r="306" spans="1:3" ht="12.75">
      <c r="A306" t="s">
        <v>1615</v>
      </c>
      <c r="C306" s="22">
        <f>I291*C304</f>
        <v>1355.2659768958683</v>
      </c>
    </row>
    <row r="312" spans="1:7" ht="12.75">
      <c r="A312" s="297" t="s">
        <v>1616</v>
      </c>
      <c r="E312">
        <v>3795</v>
      </c>
      <c r="F312">
        <v>2</v>
      </c>
      <c r="G312" s="22">
        <f>E312*F312</f>
        <v>7590</v>
      </c>
    </row>
    <row r="313" spans="1:7" ht="12.75">
      <c r="A313" t="s">
        <v>1260</v>
      </c>
      <c r="E313">
        <v>395</v>
      </c>
      <c r="F313">
        <v>2</v>
      </c>
      <c r="G313" s="22">
        <f>E313*F313</f>
        <v>790</v>
      </c>
    </row>
    <row r="314" spans="1:7" ht="12.75">
      <c r="A314" s="297" t="s">
        <v>1617</v>
      </c>
      <c r="E314">
        <v>539</v>
      </c>
      <c r="F314">
        <v>8</v>
      </c>
      <c r="G314" s="22">
        <f>E314*F314</f>
        <v>4312</v>
      </c>
    </row>
    <row r="315" ht="12.75">
      <c r="G315" s="22">
        <f>SUM(G312:G314)</f>
        <v>12692</v>
      </c>
    </row>
  </sheetData>
  <sheetProtection selectLockedCells="1" selectUnlockedCells="1"/>
  <mergeCells count="99">
    <mergeCell ref="A2:T2"/>
    <mergeCell ref="A4:B12"/>
    <mergeCell ref="G4:H4"/>
    <mergeCell ref="G5:H5"/>
    <mergeCell ref="G6:H6"/>
    <mergeCell ref="G7:H7"/>
    <mergeCell ref="G8:H8"/>
    <mergeCell ref="G9:H9"/>
    <mergeCell ref="G10:H10"/>
    <mergeCell ref="G11:H11"/>
    <mergeCell ref="G12:H12"/>
    <mergeCell ref="G13:H13"/>
    <mergeCell ref="G14:H14"/>
    <mergeCell ref="I14:J14"/>
    <mergeCell ref="G15:H15"/>
    <mergeCell ref="I15:J15"/>
    <mergeCell ref="A20:T20"/>
    <mergeCell ref="A22:B30"/>
    <mergeCell ref="G22:H22"/>
    <mergeCell ref="G23:H23"/>
    <mergeCell ref="G24:H24"/>
    <mergeCell ref="G25:H25"/>
    <mergeCell ref="G26:H26"/>
    <mergeCell ref="G27:H27"/>
    <mergeCell ref="G28:H28"/>
    <mergeCell ref="G29:H29"/>
    <mergeCell ref="G30:H30"/>
    <mergeCell ref="G31:H31"/>
    <mergeCell ref="G32:H32"/>
    <mergeCell ref="I32:J32"/>
    <mergeCell ref="G33:H33"/>
    <mergeCell ref="I33:J33"/>
    <mergeCell ref="A38:T38"/>
    <mergeCell ref="A40:B48"/>
    <mergeCell ref="G40:H40"/>
    <mergeCell ref="G41:H41"/>
    <mergeCell ref="G42:H42"/>
    <mergeCell ref="G43:H43"/>
    <mergeCell ref="G44:H44"/>
    <mergeCell ref="G45:H45"/>
    <mergeCell ref="G46:H46"/>
    <mergeCell ref="G47:H47"/>
    <mergeCell ref="G48:H48"/>
    <mergeCell ref="G49:H49"/>
    <mergeCell ref="G50:H50"/>
    <mergeCell ref="I50:J50"/>
    <mergeCell ref="G51:H51"/>
    <mergeCell ref="I51:J51"/>
    <mergeCell ref="A56:T56"/>
    <mergeCell ref="A57:T57"/>
    <mergeCell ref="B58:E58"/>
    <mergeCell ref="G58:J58"/>
    <mergeCell ref="L58:O58"/>
    <mergeCell ref="Q58:T58"/>
    <mergeCell ref="A78:D78"/>
    <mergeCell ref="A91:T91"/>
    <mergeCell ref="A92:T92"/>
    <mergeCell ref="B93:E93"/>
    <mergeCell ref="G93:J93"/>
    <mergeCell ref="L93:O93"/>
    <mergeCell ref="Q93:T93"/>
    <mergeCell ref="A113:D113"/>
    <mergeCell ref="A126:T126"/>
    <mergeCell ref="A127:T127"/>
    <mergeCell ref="B128:E128"/>
    <mergeCell ref="G128:J128"/>
    <mergeCell ref="L128:O128"/>
    <mergeCell ref="Q128:T128"/>
    <mergeCell ref="A148:D148"/>
    <mergeCell ref="A161:T161"/>
    <mergeCell ref="A162:T162"/>
    <mergeCell ref="B163:E163"/>
    <mergeCell ref="G163:J163"/>
    <mergeCell ref="L163:O163"/>
    <mergeCell ref="Q163:T163"/>
    <mergeCell ref="A183:D183"/>
    <mergeCell ref="A196:T196"/>
    <mergeCell ref="A197:T197"/>
    <mergeCell ref="B198:E198"/>
    <mergeCell ref="G198:J198"/>
    <mergeCell ref="L198:O198"/>
    <mergeCell ref="Q198:T198"/>
    <mergeCell ref="A218:D218"/>
    <mergeCell ref="A231:T231"/>
    <mergeCell ref="A232:T232"/>
    <mergeCell ref="B233:E233"/>
    <mergeCell ref="G233:J233"/>
    <mergeCell ref="L233:O233"/>
    <mergeCell ref="Q233:T233"/>
    <mergeCell ref="A253:D253"/>
    <mergeCell ref="A266:T266"/>
    <mergeCell ref="A267:T267"/>
    <mergeCell ref="B268:E268"/>
    <mergeCell ref="G268:J268"/>
    <mergeCell ref="L268:O268"/>
    <mergeCell ref="Q268:T268"/>
    <mergeCell ref="A287:E287"/>
    <mergeCell ref="G287:J287"/>
    <mergeCell ref="L287:O287"/>
  </mergeCells>
  <hyperlinks>
    <hyperlink ref="A312" r:id="rId1" display="CX34 Chiller ODU up to 2 Tons Cooling, 3 Tons Heating DC Inverter Compressor, includes VSD Pump - See more at: http://www.chiltrix.com/documents/price-list.html#sthash.AR7G8kaA.dpuf"/>
    <hyperlink ref="A314" r:id="rId2" display="CXI34 Indoor Unit up to 3,379 BTU Cooling/ 3,347 BTU Heating 120v DC Inverter 5.1&quot; Thin - See more at: http://www.chiltrix.com/documents/price-list.html#sthash.AR7G8kaA.dpuf"/>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dimension ref="A1:L76"/>
  <sheetViews>
    <sheetView zoomScale="90" zoomScaleNormal="90" workbookViewId="0" topLeftCell="A1">
      <selection activeCell="G45" sqref="G45"/>
    </sheetView>
  </sheetViews>
  <sheetFormatPr defaultColWidth="12.57421875" defaultRowHeight="12.75"/>
  <cols>
    <col min="1" max="1" width="9.57421875" style="0" customWidth="1"/>
    <col min="2" max="2" width="13.28125" style="0" customWidth="1"/>
    <col min="3" max="3" width="14.57421875" style="0" customWidth="1"/>
    <col min="5" max="5" width="13.140625" style="0" customWidth="1"/>
    <col min="6" max="8" width="11.57421875" style="0" customWidth="1"/>
    <col min="9" max="9" width="16.57421875" style="0" customWidth="1"/>
    <col min="10" max="16384" width="11.57421875" style="0" customWidth="1"/>
  </cols>
  <sheetData>
    <row r="1" spans="1:12" ht="12.75" customHeight="1">
      <c r="A1" s="98" t="s">
        <v>1618</v>
      </c>
      <c r="B1" s="98"/>
      <c r="C1" s="98"/>
      <c r="D1" s="98"/>
      <c r="E1" s="98"/>
      <c r="F1" s="98"/>
      <c r="G1" s="98"/>
      <c r="H1" s="98"/>
      <c r="I1" s="98"/>
      <c r="J1" s="98"/>
      <c r="K1" s="98"/>
      <c r="L1" s="98"/>
    </row>
    <row r="2" spans="1:12" ht="12.75">
      <c r="A2" s="98" t="s">
        <v>1619</v>
      </c>
      <c r="B2" s="98"/>
      <c r="C2" s="98"/>
      <c r="D2" s="98"/>
      <c r="E2" s="98"/>
      <c r="F2" s="98"/>
      <c r="G2" s="98"/>
      <c r="H2" s="98"/>
      <c r="I2" s="98"/>
      <c r="J2" s="98"/>
      <c r="K2" s="98"/>
      <c r="L2" s="98"/>
    </row>
    <row r="3" spans="1:12" ht="12.75" customHeight="1">
      <c r="A3" s="232" t="s">
        <v>1620</v>
      </c>
      <c r="B3" s="98" t="s">
        <v>1621</v>
      </c>
      <c r="C3" s="98"/>
      <c r="D3" s="232" t="s">
        <v>1622</v>
      </c>
      <c r="E3" s="232" t="s">
        <v>1623</v>
      </c>
      <c r="F3" s="232" t="s">
        <v>1624</v>
      </c>
      <c r="G3" s="232" t="s">
        <v>1625</v>
      </c>
      <c r="H3" s="232" t="s">
        <v>1626</v>
      </c>
      <c r="I3" s="232" t="s">
        <v>1627</v>
      </c>
      <c r="J3" s="232" t="s">
        <v>1628</v>
      </c>
      <c r="K3" s="232" t="s">
        <v>1629</v>
      </c>
      <c r="L3" s="232" t="s">
        <v>1630</v>
      </c>
    </row>
    <row r="4" spans="1:12" ht="24.75" customHeight="1">
      <c r="A4" s="232"/>
      <c r="B4" s="232" t="s">
        <v>1631</v>
      </c>
      <c r="C4" s="232" t="s">
        <v>1632</v>
      </c>
      <c r="D4" s="232"/>
      <c r="E4" s="232"/>
      <c r="F4" s="232"/>
      <c r="G4" s="232"/>
      <c r="H4" s="232"/>
      <c r="I4" s="232"/>
      <c r="J4" s="232"/>
      <c r="K4" s="232"/>
      <c r="L4" s="232"/>
    </row>
    <row r="5" spans="1:12" ht="12.75">
      <c r="A5" s="100" t="s">
        <v>1633</v>
      </c>
      <c r="B5" s="100" t="s">
        <v>1634</v>
      </c>
      <c r="C5" s="100"/>
      <c r="D5" s="100" t="s">
        <v>977</v>
      </c>
      <c r="E5" s="100" t="s">
        <v>1635</v>
      </c>
      <c r="F5" s="100" t="s">
        <v>1056</v>
      </c>
      <c r="G5" s="100"/>
      <c r="H5" s="100"/>
      <c r="I5" s="100" t="s">
        <v>1636</v>
      </c>
      <c r="J5" s="100"/>
      <c r="K5" s="100"/>
      <c r="L5" s="100"/>
    </row>
    <row r="6" spans="1:12" ht="12.75" customHeight="1">
      <c r="A6" s="327" t="s">
        <v>1637</v>
      </c>
      <c r="B6" s="327"/>
      <c r="C6" s="327"/>
      <c r="D6" s="327"/>
      <c r="E6" s="327"/>
      <c r="F6" s="327"/>
      <c r="G6" s="327"/>
      <c r="H6" s="327"/>
      <c r="I6" s="327"/>
      <c r="J6" s="327"/>
      <c r="K6" s="327"/>
      <c r="L6" s="327"/>
    </row>
    <row r="7" spans="1:12" ht="12.75">
      <c r="A7" s="327"/>
      <c r="B7" s="327"/>
      <c r="C7" s="327"/>
      <c r="D7" s="327"/>
      <c r="E7" s="327"/>
      <c r="F7" s="327"/>
      <c r="G7" s="327"/>
      <c r="H7" s="327"/>
      <c r="I7" s="327"/>
      <c r="J7" s="327"/>
      <c r="K7" s="327"/>
      <c r="L7" s="327"/>
    </row>
    <row r="8" spans="1:12" ht="12.75">
      <c r="A8" s="327"/>
      <c r="B8" s="327"/>
      <c r="C8" s="327"/>
      <c r="D8" s="327"/>
      <c r="E8" s="327"/>
      <c r="F8" s="327"/>
      <c r="G8" s="327"/>
      <c r="H8" s="327"/>
      <c r="I8" s="327"/>
      <c r="J8" s="327"/>
      <c r="K8" s="327"/>
      <c r="L8" s="327"/>
    </row>
    <row r="9" spans="1:12" ht="12.75">
      <c r="A9" s="327"/>
      <c r="B9" s="327"/>
      <c r="C9" s="327"/>
      <c r="D9" s="327"/>
      <c r="E9" s="327"/>
      <c r="F9" s="327"/>
      <c r="G9" s="327"/>
      <c r="H9" s="327"/>
      <c r="I9" s="327"/>
      <c r="J9" s="327"/>
      <c r="K9" s="327"/>
      <c r="L9" s="327"/>
    </row>
    <row r="10" spans="1:12" ht="12.75">
      <c r="A10" s="327"/>
      <c r="B10" s="327"/>
      <c r="C10" s="327"/>
      <c r="D10" s="327"/>
      <c r="E10" s="327"/>
      <c r="F10" s="327"/>
      <c r="G10" s="327"/>
      <c r="H10" s="327"/>
      <c r="I10" s="327"/>
      <c r="J10" s="327"/>
      <c r="K10" s="327"/>
      <c r="L10" s="327"/>
    </row>
    <row r="11" spans="1:12" ht="12.75">
      <c r="A11" s="327"/>
      <c r="B11" s="327"/>
      <c r="C11" s="327"/>
      <c r="D11" s="327"/>
      <c r="E11" s="327"/>
      <c r="F11" s="327"/>
      <c r="G11" s="327"/>
      <c r="H11" s="327"/>
      <c r="I11" s="327"/>
      <c r="J11" s="327"/>
      <c r="K11" s="327"/>
      <c r="L11" s="327"/>
    </row>
    <row r="12" spans="1:12" ht="12.75">
      <c r="A12" s="327"/>
      <c r="B12" s="327"/>
      <c r="C12" s="327"/>
      <c r="D12" s="327"/>
      <c r="E12" s="327"/>
      <c r="F12" s="327"/>
      <c r="G12" s="327"/>
      <c r="H12" s="327"/>
      <c r="I12" s="327"/>
      <c r="J12" s="327"/>
      <c r="K12" s="327"/>
      <c r="L12" s="327"/>
    </row>
    <row r="13" spans="1:12" ht="12.75">
      <c r="A13" s="327"/>
      <c r="B13" s="327"/>
      <c r="C13" s="327"/>
      <c r="D13" s="327"/>
      <c r="E13" s="327"/>
      <c r="F13" s="327"/>
      <c r="G13" s="327"/>
      <c r="H13" s="327"/>
      <c r="I13" s="327"/>
      <c r="J13" s="327"/>
      <c r="K13" s="327"/>
      <c r="L13" s="327"/>
    </row>
    <row r="14" spans="1:12" ht="12.75">
      <c r="A14" s="327"/>
      <c r="B14" s="327"/>
      <c r="C14" s="327"/>
      <c r="D14" s="327"/>
      <c r="E14" s="327"/>
      <c r="F14" s="327"/>
      <c r="G14" s="327"/>
      <c r="H14" s="327"/>
      <c r="I14" s="327"/>
      <c r="J14" s="327"/>
      <c r="K14" s="327"/>
      <c r="L14" s="327"/>
    </row>
    <row r="15" spans="1:12" ht="12.75">
      <c r="A15" s="327"/>
      <c r="B15" s="327"/>
      <c r="C15" s="327"/>
      <c r="D15" s="327"/>
      <c r="E15" s="327"/>
      <c r="F15" s="327"/>
      <c r="G15" s="327"/>
      <c r="H15" s="327"/>
      <c r="I15" s="327"/>
      <c r="J15" s="327"/>
      <c r="K15" s="327"/>
      <c r="L15" s="327"/>
    </row>
    <row r="16" spans="1:12" ht="12.75">
      <c r="A16" s="327"/>
      <c r="B16" s="327"/>
      <c r="C16" s="327"/>
      <c r="D16" s="327"/>
      <c r="E16" s="327"/>
      <c r="F16" s="327"/>
      <c r="G16" s="327"/>
      <c r="H16" s="327"/>
      <c r="I16" s="327"/>
      <c r="J16" s="327"/>
      <c r="K16" s="327"/>
      <c r="L16" s="327"/>
    </row>
    <row r="17" spans="1:12" ht="12.75">
      <c r="A17" s="327"/>
      <c r="B17" s="327"/>
      <c r="C17" s="327"/>
      <c r="D17" s="327"/>
      <c r="E17" s="327"/>
      <c r="F17" s="327"/>
      <c r="G17" s="327"/>
      <c r="H17" s="327"/>
      <c r="I17" s="327"/>
      <c r="J17" s="327"/>
      <c r="K17" s="327"/>
      <c r="L17" s="327"/>
    </row>
    <row r="18" spans="1:12" ht="12.75">
      <c r="A18" s="327"/>
      <c r="B18" s="327"/>
      <c r="C18" s="327"/>
      <c r="D18" s="327"/>
      <c r="E18" s="327"/>
      <c r="F18" s="327"/>
      <c r="G18" s="327"/>
      <c r="H18" s="327"/>
      <c r="I18" s="327"/>
      <c r="J18" s="327"/>
      <c r="K18" s="327"/>
      <c r="L18" s="327"/>
    </row>
    <row r="19" spans="1:12" ht="12.75">
      <c r="A19" s="327"/>
      <c r="B19" s="327"/>
      <c r="C19" s="327"/>
      <c r="D19" s="327"/>
      <c r="E19" s="327"/>
      <c r="F19" s="327"/>
      <c r="G19" s="327"/>
      <c r="H19" s="327"/>
      <c r="I19" s="327"/>
      <c r="J19" s="327"/>
      <c r="K19" s="327"/>
      <c r="L19" s="327"/>
    </row>
    <row r="20" spans="1:12" ht="12.75">
      <c r="A20" s="327"/>
      <c r="B20" s="327"/>
      <c r="C20" s="327"/>
      <c r="D20" s="327"/>
      <c r="E20" s="327"/>
      <c r="F20" s="327"/>
      <c r="G20" s="327"/>
      <c r="H20" s="327"/>
      <c r="I20" s="327"/>
      <c r="J20" s="327"/>
      <c r="K20" s="327"/>
      <c r="L20" s="327"/>
    </row>
    <row r="21" spans="1:12" ht="12.75">
      <c r="A21" s="327"/>
      <c r="B21" s="327"/>
      <c r="C21" s="327"/>
      <c r="D21" s="327"/>
      <c r="E21" s="327"/>
      <c r="F21" s="327"/>
      <c r="G21" s="327"/>
      <c r="H21" s="327"/>
      <c r="I21" s="327"/>
      <c r="J21" s="327"/>
      <c r="K21" s="327"/>
      <c r="L21" s="327"/>
    </row>
    <row r="22" spans="1:12" ht="12.75">
      <c r="A22" s="327"/>
      <c r="B22" s="327"/>
      <c r="C22" s="327"/>
      <c r="D22" s="327"/>
      <c r="E22" s="327"/>
      <c r="F22" s="327"/>
      <c r="G22" s="327"/>
      <c r="H22" s="327"/>
      <c r="I22" s="327"/>
      <c r="J22" s="327"/>
      <c r="K22" s="327"/>
      <c r="L22" s="327"/>
    </row>
    <row r="23" spans="1:12" ht="12.75">
      <c r="A23" s="327"/>
      <c r="B23" s="327"/>
      <c r="C23" s="327"/>
      <c r="D23" s="327"/>
      <c r="E23" s="327"/>
      <c r="F23" s="327"/>
      <c r="G23" s="327"/>
      <c r="H23" s="327"/>
      <c r="I23" s="327"/>
      <c r="J23" s="327"/>
      <c r="K23" s="327"/>
      <c r="L23" s="327"/>
    </row>
    <row r="24" spans="1:12" ht="12.75">
      <c r="A24" s="327"/>
      <c r="B24" s="327"/>
      <c r="C24" s="327"/>
      <c r="D24" s="327"/>
      <c r="E24" s="327"/>
      <c r="F24" s="327"/>
      <c r="G24" s="327"/>
      <c r="H24" s="327"/>
      <c r="I24" s="327"/>
      <c r="J24" s="327"/>
      <c r="K24" s="327"/>
      <c r="L24" s="327"/>
    </row>
    <row r="25" spans="1:12" ht="12.75">
      <c r="A25" s="327"/>
      <c r="B25" s="327"/>
      <c r="C25" s="327"/>
      <c r="D25" s="327"/>
      <c r="E25" s="327"/>
      <c r="F25" s="327"/>
      <c r="G25" s="327"/>
      <c r="H25" s="327"/>
      <c r="I25" s="327"/>
      <c r="J25" s="327"/>
      <c r="K25" s="327"/>
      <c r="L25" s="327"/>
    </row>
    <row r="26" spans="1:12" ht="12.75">
      <c r="A26" s="327"/>
      <c r="B26" s="327"/>
      <c r="C26" s="327"/>
      <c r="D26" s="327"/>
      <c r="E26" s="327"/>
      <c r="F26" s="327"/>
      <c r="G26" s="327"/>
      <c r="H26" s="327"/>
      <c r="I26" s="327"/>
      <c r="J26" s="327"/>
      <c r="K26" s="327"/>
      <c r="L26" s="327"/>
    </row>
    <row r="27" ht="12.75">
      <c r="A27" s="328"/>
    </row>
    <row r="28" ht="12.75">
      <c r="A28" s="329"/>
    </row>
    <row r="29" spans="1:10" ht="12.75">
      <c r="A29" s="279" t="s">
        <v>1638</v>
      </c>
      <c r="B29" s="279"/>
      <c r="C29" s="279"/>
      <c r="D29" s="279"/>
      <c r="E29" s="279"/>
      <c r="F29" s="279"/>
      <c r="G29" s="279"/>
      <c r="H29" s="279"/>
      <c r="I29" s="279"/>
      <c r="J29" s="279"/>
    </row>
    <row r="30" spans="1:10" ht="12.75" customHeight="1">
      <c r="A30" s="330" t="s">
        <v>1639</v>
      </c>
      <c r="B30" s="330" t="s">
        <v>1640</v>
      </c>
      <c r="C30" s="330" t="s">
        <v>1641</v>
      </c>
      <c r="D30" s="330" t="s">
        <v>1642</v>
      </c>
      <c r="E30" s="330"/>
      <c r="F30" s="330"/>
      <c r="G30" s="330"/>
      <c r="H30" s="330" t="s">
        <v>1643</v>
      </c>
      <c r="I30" s="330"/>
      <c r="J30" s="330" t="s">
        <v>1644</v>
      </c>
    </row>
    <row r="31" spans="1:10" ht="12.75">
      <c r="A31" s="330"/>
      <c r="B31" s="330"/>
      <c r="C31" s="330"/>
      <c r="D31" s="330" t="s">
        <v>1645</v>
      </c>
      <c r="E31" s="330" t="s">
        <v>1646</v>
      </c>
      <c r="F31" s="330" t="s">
        <v>1647</v>
      </c>
      <c r="G31" s="330" t="s">
        <v>1648</v>
      </c>
      <c r="H31" s="330"/>
      <c r="I31" s="330"/>
      <c r="J31" s="330"/>
    </row>
    <row r="32" spans="1:10" ht="12.75">
      <c r="A32" s="331">
        <v>70</v>
      </c>
      <c r="B32" s="331">
        <v>70000</v>
      </c>
      <c r="C32" s="331">
        <v>200</v>
      </c>
      <c r="D32" s="331">
        <v>50</v>
      </c>
      <c r="E32" s="331">
        <v>50</v>
      </c>
      <c r="F32" s="331">
        <v>25</v>
      </c>
      <c r="G32" s="331">
        <v>30</v>
      </c>
      <c r="H32" s="331">
        <v>2</v>
      </c>
      <c r="I32" s="331">
        <v>30</v>
      </c>
      <c r="J32" s="331">
        <v>15</v>
      </c>
    </row>
    <row r="33" ht="12.75">
      <c r="A33" s="45"/>
    </row>
    <row r="34" ht="12.75">
      <c r="A34" s="329"/>
    </row>
    <row r="35" ht="12.75">
      <c r="A35" s="329"/>
    </row>
    <row r="36" ht="12.75">
      <c r="A36" s="328"/>
    </row>
    <row r="37" ht="12.75">
      <c r="A37" s="328"/>
    </row>
    <row r="38" ht="12.75">
      <c r="A38" s="329"/>
    </row>
    <row r="39" ht="12.75">
      <c r="A39" s="328"/>
    </row>
    <row r="40" ht="12.75">
      <c r="A40" s="328"/>
    </row>
    <row r="41" ht="12.75">
      <c r="A41" s="328"/>
    </row>
    <row r="45" ht="12.75">
      <c r="A45" s="328"/>
    </row>
    <row r="46" ht="12.75">
      <c r="A46" s="332"/>
    </row>
    <row r="52" ht="12.75">
      <c r="A52" s="45"/>
    </row>
    <row r="53" ht="12.75">
      <c r="A53" s="45"/>
    </row>
    <row r="54" ht="12.75">
      <c r="A54" s="45"/>
    </row>
    <row r="55" ht="12.75">
      <c r="A55" s="45"/>
    </row>
    <row r="56" ht="12.75">
      <c r="A56" s="45"/>
    </row>
    <row r="57" ht="12.75">
      <c r="A57" s="329"/>
    </row>
    <row r="58" ht="12.75">
      <c r="A58" s="45"/>
    </row>
    <row r="59" ht="12.75">
      <c r="A59" s="333"/>
    </row>
    <row r="60" ht="12.75">
      <c r="A60" s="45"/>
    </row>
    <row r="61" ht="12.75">
      <c r="A61" s="45"/>
    </row>
    <row r="62" ht="12.75">
      <c r="A62" s="45"/>
    </row>
    <row r="63" ht="12.75">
      <c r="A63" s="45"/>
    </row>
    <row r="64" ht="12.75">
      <c r="A64" s="333"/>
    </row>
    <row r="65" ht="12.75">
      <c r="A65" s="45"/>
    </row>
    <row r="66" ht="12.75">
      <c r="A66" s="45"/>
    </row>
    <row r="67" ht="12.75">
      <c r="A67" s="45"/>
    </row>
    <row r="68" ht="12.75">
      <c r="A68" s="45"/>
    </row>
    <row r="69" ht="12.75">
      <c r="A69" s="45"/>
    </row>
    <row r="70" ht="12.75">
      <c r="A70" s="45"/>
    </row>
    <row r="71" ht="12.75">
      <c r="A71" s="45"/>
    </row>
    <row r="72" ht="12.75">
      <c r="A72" s="45"/>
    </row>
    <row r="73" ht="12.75">
      <c r="A73" s="45"/>
    </row>
    <row r="74" ht="12.75">
      <c r="A74" s="45"/>
    </row>
    <row r="75" ht="12.75">
      <c r="A75" s="45"/>
    </row>
    <row r="76" ht="12.75">
      <c r="A76" s="45"/>
    </row>
  </sheetData>
  <sheetProtection selectLockedCells="1" selectUnlockedCells="1"/>
  <mergeCells count="21">
    <mergeCell ref="A1:L1"/>
    <mergeCell ref="A2:L2"/>
    <mergeCell ref="A3:A4"/>
    <mergeCell ref="B3:C3"/>
    <mergeCell ref="D3:D4"/>
    <mergeCell ref="E3:E4"/>
    <mergeCell ref="F3:F4"/>
    <mergeCell ref="G3:G4"/>
    <mergeCell ref="H3:H4"/>
    <mergeCell ref="I3:I4"/>
    <mergeCell ref="J3:J4"/>
    <mergeCell ref="K3:K4"/>
    <mergeCell ref="L3:L4"/>
    <mergeCell ref="A6:L26"/>
    <mergeCell ref="A29:J29"/>
    <mergeCell ref="A30:A31"/>
    <mergeCell ref="B30:B31"/>
    <mergeCell ref="C30:C31"/>
    <mergeCell ref="D30:G30"/>
    <mergeCell ref="H30:I31"/>
    <mergeCell ref="J30:J3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29"/>
  <sheetViews>
    <sheetView zoomScale="90" zoomScaleNormal="90" workbookViewId="0" topLeftCell="A43">
      <selection activeCell="L81" sqref="L81"/>
    </sheetView>
  </sheetViews>
  <sheetFormatPr defaultColWidth="12.57421875" defaultRowHeight="12.75"/>
  <cols>
    <col min="1" max="1" width="48.421875" style="0" customWidth="1"/>
    <col min="2" max="2" width="17.140625" style="0" customWidth="1"/>
    <col min="3" max="4" width="11.00390625" style="0" customWidth="1"/>
    <col min="5" max="5" width="17.140625" style="0" customWidth="1"/>
    <col min="6" max="6" width="11.57421875" style="0" customWidth="1"/>
    <col min="7" max="7" width="12.421875" style="0" customWidth="1"/>
    <col min="8" max="11" width="11.57421875" style="0" customWidth="1"/>
    <col min="12" max="12" width="23.00390625" style="0" customWidth="1"/>
    <col min="13" max="16384" width="11.57421875" style="0" customWidth="1"/>
  </cols>
  <sheetData>
    <row r="1" spans="1:10" ht="12.75">
      <c r="A1" s="29" t="s">
        <v>58</v>
      </c>
      <c r="B1" s="29"/>
      <c r="C1" s="29"/>
      <c r="D1" s="29"/>
      <c r="E1" s="29"/>
      <c r="F1" s="29"/>
      <c r="G1" s="30"/>
      <c r="H1" s="2"/>
      <c r="I1" s="2"/>
      <c r="J1" s="3"/>
    </row>
    <row r="2" spans="1:13" ht="12.75">
      <c r="A2" s="31" t="s">
        <v>59</v>
      </c>
      <c r="B2" s="32" t="s">
        <v>60</v>
      </c>
      <c r="C2" s="32" t="s">
        <v>61</v>
      </c>
      <c r="D2" s="32" t="s">
        <v>62</v>
      </c>
      <c r="E2" s="32" t="s">
        <v>63</v>
      </c>
      <c r="F2" s="32" t="s">
        <v>64</v>
      </c>
      <c r="H2" t="s">
        <v>65</v>
      </c>
      <c r="I2" t="s">
        <v>66</v>
      </c>
      <c r="J2" s="7" t="s">
        <v>10</v>
      </c>
      <c r="L2" t="s">
        <v>67</v>
      </c>
      <c r="M2" s="12">
        <f>G9+G13+G31+G51+F70+F71</f>
        <v>138029.22813766872</v>
      </c>
    </row>
    <row r="3" spans="1:10" ht="12.75">
      <c r="A3" s="33" t="s">
        <v>68</v>
      </c>
      <c r="B3" s="32"/>
      <c r="C3" s="32"/>
      <c r="D3" s="32"/>
      <c r="E3" s="32"/>
      <c r="F3" s="32"/>
      <c r="G3" s="34">
        <f>SUM(F4:F7)</f>
        <v>200</v>
      </c>
      <c r="I3" s="28">
        <f>SUM(H4:H8)</f>
        <v>100</v>
      </c>
      <c r="J3" s="35">
        <f>I3/8</f>
        <v>12.5</v>
      </c>
    </row>
    <row r="4" spans="1:10" ht="12.75" customHeight="1">
      <c r="A4" s="36" t="s">
        <v>69</v>
      </c>
      <c r="B4" s="32"/>
      <c r="C4" s="32"/>
      <c r="D4" s="32"/>
      <c r="E4" s="32"/>
      <c r="F4" s="32"/>
      <c r="H4">
        <v>60</v>
      </c>
      <c r="I4" s="28"/>
      <c r="J4" s="35">
        <f>I4/8</f>
        <v>0</v>
      </c>
    </row>
    <row r="5" spans="1:10" ht="12.75" customHeight="1">
      <c r="A5" s="36" t="s">
        <v>70</v>
      </c>
      <c r="B5" s="32"/>
      <c r="C5" s="32"/>
      <c r="D5" s="32"/>
      <c r="E5" s="32"/>
      <c r="F5" s="32"/>
      <c r="H5">
        <v>30</v>
      </c>
      <c r="I5" s="28"/>
      <c r="J5" s="35">
        <f>I5/8</f>
        <v>0</v>
      </c>
    </row>
    <row r="6" spans="1:10" ht="12.75" customHeight="1">
      <c r="A6" s="36" t="s">
        <v>71</v>
      </c>
      <c r="B6" s="32"/>
      <c r="C6" s="32"/>
      <c r="D6" s="32"/>
      <c r="E6" s="32"/>
      <c r="F6" s="32"/>
      <c r="H6">
        <v>10</v>
      </c>
      <c r="I6" s="28"/>
      <c r="J6" s="35">
        <f>I6/8</f>
        <v>0</v>
      </c>
    </row>
    <row r="7" spans="1:10" ht="12.75" customHeight="1">
      <c r="A7" s="36" t="s">
        <v>72</v>
      </c>
      <c r="B7" s="37">
        <v>200</v>
      </c>
      <c r="C7" s="32"/>
      <c r="D7" s="32"/>
      <c r="E7" s="32"/>
      <c r="F7" s="37">
        <f>B7+C7+D7+E7</f>
        <v>200</v>
      </c>
      <c r="I7" s="28"/>
      <c r="J7" s="35">
        <f>I7/8</f>
        <v>0</v>
      </c>
    </row>
    <row r="8" spans="1:10" ht="12.75" customHeight="1">
      <c r="A8" s="36"/>
      <c r="B8" s="32"/>
      <c r="C8" s="32"/>
      <c r="D8" s="32"/>
      <c r="E8" s="32"/>
      <c r="F8" s="32"/>
      <c r="I8" s="28">
        <f>SUM(H9:H12)</f>
        <v>0</v>
      </c>
      <c r="J8" s="35">
        <f>I8/8</f>
        <v>0</v>
      </c>
    </row>
    <row r="9" spans="1:10" ht="12.75" customHeight="1">
      <c r="A9" s="33" t="s">
        <v>73</v>
      </c>
      <c r="B9" s="32"/>
      <c r="C9" s="32"/>
      <c r="D9" s="32"/>
      <c r="E9" s="32"/>
      <c r="F9" s="32"/>
      <c r="G9" s="34">
        <f>F10</f>
        <v>2040</v>
      </c>
      <c r="I9" s="28"/>
      <c r="J9" s="35">
        <f>I9/8</f>
        <v>0</v>
      </c>
    </row>
    <row r="10" spans="1:10" ht="12.75" customHeight="1">
      <c r="A10" s="36" t="s">
        <v>74</v>
      </c>
      <c r="B10" s="32"/>
      <c r="C10" s="32"/>
      <c r="D10" s="32"/>
      <c r="E10" s="37">
        <v>2040</v>
      </c>
      <c r="F10" s="37">
        <f>B10+C10+D10+E10</f>
        <v>2040</v>
      </c>
      <c r="G10" s="34"/>
      <c r="I10" s="28"/>
      <c r="J10" s="35">
        <f>I10/8</f>
        <v>0</v>
      </c>
    </row>
    <row r="11" spans="1:10" ht="12.75" customHeight="1">
      <c r="A11" s="36"/>
      <c r="B11" s="32"/>
      <c r="C11" s="32"/>
      <c r="D11" s="32"/>
      <c r="E11" s="32"/>
      <c r="F11" s="37">
        <f>B11+C11+D11+E11</f>
        <v>0</v>
      </c>
      <c r="I11" s="28"/>
      <c r="J11" s="35">
        <f>I11/8</f>
        <v>0</v>
      </c>
    </row>
    <row r="12" spans="1:10" ht="12.75" customHeight="1">
      <c r="A12" s="31"/>
      <c r="B12" s="32"/>
      <c r="C12" s="32"/>
      <c r="D12" s="32"/>
      <c r="E12" s="32"/>
      <c r="F12" s="37">
        <f>B12+C12+D12+E12</f>
        <v>0</v>
      </c>
      <c r="I12" s="28"/>
      <c r="J12" s="35">
        <f>I12/8</f>
        <v>0</v>
      </c>
    </row>
    <row r="13" spans="1:10" ht="12.75">
      <c r="A13" s="33" t="s">
        <v>75</v>
      </c>
      <c r="B13" s="37"/>
      <c r="C13" s="37"/>
      <c r="D13" s="37"/>
      <c r="E13" s="37"/>
      <c r="F13" s="37"/>
      <c r="G13" s="34">
        <f>Flatwork_Calcs!J20</f>
        <v>49728.53753055411</v>
      </c>
      <c r="H13" s="28"/>
      <c r="I13" s="28">
        <f>SUM(H14:H30)</f>
        <v>382</v>
      </c>
      <c r="J13" s="35">
        <f>I13/8</f>
        <v>47.75</v>
      </c>
    </row>
    <row r="14" spans="1:10" ht="12.75">
      <c r="A14" s="36">
        <f>Flatwork_Calcs!I4</f>
        <v>0</v>
      </c>
      <c r="B14" s="37">
        <f>Flatwork_Calcs!J4</f>
        <v>4156.887735</v>
      </c>
      <c r="C14" s="37"/>
      <c r="D14" s="37"/>
      <c r="E14" s="37"/>
      <c r="F14" s="37">
        <f>B14+C14+D14+E14</f>
        <v>4156.887735</v>
      </c>
      <c r="H14">
        <v>30</v>
      </c>
      <c r="I14" s="28"/>
      <c r="J14" s="35">
        <f>I14/8</f>
        <v>0</v>
      </c>
    </row>
    <row r="15" spans="1:10" ht="12.75">
      <c r="A15" s="36">
        <f>Flatwork_Calcs!I5</f>
        <v>0</v>
      </c>
      <c r="B15" s="37">
        <f>Flatwork_Calcs!J5</f>
        <v>2158.72238725</v>
      </c>
      <c r="C15" s="37"/>
      <c r="D15" s="37"/>
      <c r="E15" s="37"/>
      <c r="F15" s="37">
        <f>B15+C15+D15+E15</f>
        <v>2158.72238725</v>
      </c>
      <c r="H15">
        <v>10</v>
      </c>
      <c r="I15" s="28"/>
      <c r="J15" s="35">
        <f>I15/8</f>
        <v>0</v>
      </c>
    </row>
    <row r="16" spans="1:10" ht="12.75">
      <c r="A16" s="36">
        <f>Flatwork_Calcs!I6</f>
        <v>0</v>
      </c>
      <c r="B16" s="37">
        <f>Flatwork_Calcs!J6</f>
        <v>7003.31102471</v>
      </c>
      <c r="C16" s="37"/>
      <c r="D16" s="37"/>
      <c r="E16" s="37"/>
      <c r="F16" s="37">
        <f>B16+C16+D16+E16</f>
        <v>7003.31102471</v>
      </c>
      <c r="H16">
        <v>60</v>
      </c>
      <c r="I16" s="28"/>
      <c r="J16" s="35">
        <f>I16/8</f>
        <v>0</v>
      </c>
    </row>
    <row r="17" spans="1:10" ht="12.75">
      <c r="A17" s="36">
        <f>Flatwork_Calcs!I7</f>
        <v>0</v>
      </c>
      <c r="B17" s="37">
        <f>Flatwork_Calcs!J7</f>
        <v>6216.217847125</v>
      </c>
      <c r="C17" s="37"/>
      <c r="D17" s="37"/>
      <c r="E17" s="37"/>
      <c r="F17" s="37">
        <f>B17+C17+D17+E17</f>
        <v>6216.217847125</v>
      </c>
      <c r="H17">
        <v>50</v>
      </c>
      <c r="I17" s="28"/>
      <c r="J17" s="35">
        <f>I17/8</f>
        <v>0</v>
      </c>
    </row>
    <row r="18" spans="1:10" ht="12.75">
      <c r="A18" s="36">
        <f>Flatwork_Calcs!I8</f>
        <v>0</v>
      </c>
      <c r="B18" s="37">
        <f>Flatwork_Calcs!J8</f>
        <v>1535.6936833333332</v>
      </c>
      <c r="C18" s="37"/>
      <c r="D18" s="37"/>
      <c r="E18" s="37"/>
      <c r="F18" s="37">
        <f>B18+C18+D18+E18</f>
        <v>1535.6936833333332</v>
      </c>
      <c r="H18">
        <v>20</v>
      </c>
      <c r="I18" s="28"/>
      <c r="J18" s="35">
        <f>I18/8</f>
        <v>0</v>
      </c>
    </row>
    <row r="19" spans="1:10" ht="12.75">
      <c r="A19" s="36">
        <f>Flatwork_Calcs!I9</f>
        <v>0</v>
      </c>
      <c r="B19" s="37">
        <f>Flatwork_Calcs!J9</f>
        <v>282.502792</v>
      </c>
      <c r="C19" s="37"/>
      <c r="D19" s="37"/>
      <c r="E19" s="37"/>
      <c r="F19" s="37">
        <f>B19+C19+D19+E19</f>
        <v>282.502792</v>
      </c>
      <c r="H19">
        <v>4</v>
      </c>
      <c r="I19" s="28"/>
      <c r="J19" s="35">
        <f>I19/8</f>
        <v>0</v>
      </c>
    </row>
    <row r="20" spans="1:10" ht="12.75">
      <c r="A20" s="36">
        <f>Flatwork_Calcs!I10</f>
        <v>0</v>
      </c>
      <c r="B20" s="37">
        <f>Flatwork_Calcs!J10</f>
        <v>348.10997363999996</v>
      </c>
      <c r="C20" s="37"/>
      <c r="D20" s="37"/>
      <c r="E20" s="37"/>
      <c r="F20" s="37">
        <f>B20+C20+D20+E20</f>
        <v>348.10997363999996</v>
      </c>
      <c r="H20">
        <v>8</v>
      </c>
      <c r="I20" s="28"/>
      <c r="J20" s="35">
        <f>I20/8</f>
        <v>0</v>
      </c>
    </row>
    <row r="21" spans="1:10" ht="12.75">
      <c r="A21" s="36">
        <f>Flatwork_Calcs!I11</f>
        <v>0</v>
      </c>
      <c r="B21" s="37">
        <f>Flatwork_Calcs!J11</f>
        <v>4592.05052449</v>
      </c>
      <c r="C21" s="37"/>
      <c r="D21" s="37"/>
      <c r="E21" s="37"/>
      <c r="F21" s="37">
        <f>B21+C21+D21+E21</f>
        <v>4592.05052449</v>
      </c>
      <c r="H21">
        <v>30</v>
      </c>
      <c r="I21" s="28"/>
      <c r="J21" s="35">
        <f>I21/8</f>
        <v>0</v>
      </c>
    </row>
    <row r="22" spans="1:10" ht="12.75">
      <c r="A22" s="36">
        <f>Flatwork_Calcs!I12</f>
        <v>0</v>
      </c>
      <c r="B22" s="37">
        <f>Flatwork_Calcs!J12</f>
        <v>4807.514770344001</v>
      </c>
      <c r="C22" s="37"/>
      <c r="D22" s="37"/>
      <c r="E22" s="37"/>
      <c r="F22" s="37">
        <f>B22+C22+D22+E22</f>
        <v>4807.514770344001</v>
      </c>
      <c r="H22">
        <v>60</v>
      </c>
      <c r="I22" s="28"/>
      <c r="J22" s="35">
        <f>I22/8</f>
        <v>0</v>
      </c>
    </row>
    <row r="23" spans="1:10" ht="12.75">
      <c r="A23" s="36">
        <f>Flatwork_Calcs!I13</f>
        <v>0</v>
      </c>
      <c r="B23" s="37">
        <f>Flatwork_Calcs!J13</f>
        <v>4722.852838619259</v>
      </c>
      <c r="C23" s="37">
        <f>4*8*50</f>
        <v>1600</v>
      </c>
      <c r="D23" s="37"/>
      <c r="E23" s="37"/>
      <c r="F23" s="37">
        <f>B23+C23+D23+E23</f>
        <v>6322.852838619259</v>
      </c>
      <c r="G23" s="12">
        <f>C23</f>
        <v>1600</v>
      </c>
      <c r="H23">
        <v>20</v>
      </c>
      <c r="I23" s="28"/>
      <c r="J23" s="35">
        <f>I23/8</f>
        <v>0</v>
      </c>
    </row>
    <row r="24" spans="1:10" ht="12.75">
      <c r="A24" s="36">
        <f>Flatwork_Calcs!I14</f>
        <v>0</v>
      </c>
      <c r="B24" s="37">
        <f>Flatwork_Calcs!J14</f>
        <v>4985.197964851853</v>
      </c>
      <c r="C24" s="37">
        <f>4*8*50</f>
        <v>1600</v>
      </c>
      <c r="D24" s="37"/>
      <c r="E24" s="37"/>
      <c r="F24" s="37">
        <f>B24+C24+D24+E24</f>
        <v>6585.197964851853</v>
      </c>
      <c r="G24" s="12">
        <f>C24</f>
        <v>1600</v>
      </c>
      <c r="H24">
        <v>40</v>
      </c>
      <c r="I24" s="28"/>
      <c r="J24" s="35">
        <f>I24/8</f>
        <v>0</v>
      </c>
    </row>
    <row r="25" spans="1:10" ht="12.75">
      <c r="A25" s="36">
        <f>Flatwork_Calcs!I15</f>
        <v>0</v>
      </c>
      <c r="B25" s="37">
        <f>Flatwork_Calcs!J15</f>
        <v>4343.939559748148</v>
      </c>
      <c r="C25" s="37">
        <f>4*8*50</f>
        <v>1600</v>
      </c>
      <c r="D25" s="37"/>
      <c r="E25" s="37"/>
      <c r="F25" s="37">
        <f>B25+C25+D25+E25</f>
        <v>5943.939559748148</v>
      </c>
      <c r="G25" s="12">
        <f>C25</f>
        <v>1600</v>
      </c>
      <c r="H25">
        <v>20</v>
      </c>
      <c r="I25" s="28"/>
      <c r="J25" s="35">
        <f>I25/8</f>
        <v>0</v>
      </c>
    </row>
    <row r="26" spans="1:10" ht="12.75">
      <c r="A26" s="36">
        <f>Flatwork_Calcs!I16</f>
        <v>0</v>
      </c>
      <c r="B26" s="37">
        <f>Flatwork_Calcs!J16</f>
        <v>439.5706614425177</v>
      </c>
      <c r="C26" s="37"/>
      <c r="D26" s="37"/>
      <c r="E26" s="37"/>
      <c r="F26" s="37">
        <f>B26+C26+D26+E26</f>
        <v>439.5706614425177</v>
      </c>
      <c r="H26">
        <v>0</v>
      </c>
      <c r="I26" s="28"/>
      <c r="J26" s="35">
        <f>I26/8</f>
        <v>0</v>
      </c>
    </row>
    <row r="27" spans="1:10" ht="12.75">
      <c r="A27" s="36">
        <f>Flatwork_Calcs!I17</f>
        <v>0</v>
      </c>
      <c r="B27" s="37">
        <f>Flatwork_Calcs!J17</f>
        <v>3035.965768</v>
      </c>
      <c r="C27" s="37"/>
      <c r="D27" s="37"/>
      <c r="E27" s="37"/>
      <c r="F27" s="37">
        <f>B27+C27+D27+E27</f>
        <v>3035.965768</v>
      </c>
      <c r="H27">
        <v>0</v>
      </c>
      <c r="I27" s="28"/>
      <c r="J27" s="35">
        <f>I27/8</f>
        <v>0</v>
      </c>
    </row>
    <row r="28" spans="1:10" ht="12.75">
      <c r="A28" s="36">
        <f>Flatwork_Calcs!I18</f>
        <v>0</v>
      </c>
      <c r="B28" s="37">
        <f>Flatwork_Calcs!J18</f>
        <v>1100</v>
      </c>
      <c r="C28" s="37"/>
      <c r="D28" s="37"/>
      <c r="E28" s="37"/>
      <c r="F28" s="37">
        <f>B28+C28+D28+E28</f>
        <v>1100</v>
      </c>
      <c r="H28">
        <v>30</v>
      </c>
      <c r="I28" s="28"/>
      <c r="J28" s="35">
        <f>I28/8</f>
        <v>0</v>
      </c>
    </row>
    <row r="29" spans="1:10" ht="12.75">
      <c r="A29" s="36">
        <f>Flatwork_Calcs!I19</f>
        <v>0</v>
      </c>
      <c r="B29" s="37">
        <f>Flatwork_Calcs!J19</f>
        <v>0</v>
      </c>
      <c r="C29" s="37"/>
      <c r="D29" s="37"/>
      <c r="E29" s="37"/>
      <c r="F29" s="37">
        <f>B29+C29+D29+E29</f>
        <v>0</v>
      </c>
      <c r="I29" s="28"/>
      <c r="J29" s="35">
        <f>I29/8</f>
        <v>0</v>
      </c>
    </row>
    <row r="30" spans="1:10" ht="12.75">
      <c r="A30" s="36"/>
      <c r="B30" s="37"/>
      <c r="C30" s="37"/>
      <c r="D30" s="37"/>
      <c r="E30" s="37"/>
      <c r="F30" s="37">
        <f>B30+C30+D30+E30</f>
        <v>0</v>
      </c>
      <c r="I30" s="28"/>
      <c r="J30" s="35">
        <f>I30/8</f>
        <v>0</v>
      </c>
    </row>
    <row r="31" spans="1:10" ht="12.75">
      <c r="A31" s="33" t="s">
        <v>76</v>
      </c>
      <c r="B31" s="37"/>
      <c r="C31" s="37"/>
      <c r="D31" s="37"/>
      <c r="E31" s="37"/>
      <c r="F31" s="37"/>
      <c r="G31" s="34">
        <f>Framing_Calcs!K15</f>
        <v>51614.3379304666</v>
      </c>
      <c r="H31" s="28"/>
      <c r="I31" s="28">
        <f>SUM(H32:H43)</f>
        <v>500</v>
      </c>
      <c r="J31" s="35">
        <f>I31/8</f>
        <v>62.5</v>
      </c>
    </row>
    <row r="32" spans="1:10" ht="12.75">
      <c r="A32" s="36">
        <f>Framing_Calcs!J4</f>
        <v>0</v>
      </c>
      <c r="B32" s="38">
        <f>Framing_Calcs!K4</f>
        <v>5487.429051847601</v>
      </c>
      <c r="C32" s="37"/>
      <c r="D32" s="37"/>
      <c r="E32" s="37"/>
      <c r="F32" s="37">
        <f>B32+C32+D32+E32</f>
        <v>5487.429051847601</v>
      </c>
      <c r="H32">
        <v>140</v>
      </c>
      <c r="I32" s="28"/>
      <c r="J32" s="35">
        <f>I32/8</f>
        <v>0</v>
      </c>
    </row>
    <row r="33" spans="1:10" ht="12.75">
      <c r="A33" s="36">
        <f>Framing_Calcs!J5</f>
        <v>0</v>
      </c>
      <c r="B33" s="38">
        <f>Framing_Calcs!K5</f>
        <v>4026.7879937999996</v>
      </c>
      <c r="C33" s="37"/>
      <c r="D33" s="37"/>
      <c r="E33" s="37"/>
      <c r="F33" s="37">
        <f>B33+C33+D33+E33</f>
        <v>4026.7879937999996</v>
      </c>
      <c r="H33">
        <v>50</v>
      </c>
      <c r="I33" s="28"/>
      <c r="J33" s="35">
        <f>I33/8</f>
        <v>0</v>
      </c>
    </row>
    <row r="34" spans="1:10" ht="12.75">
      <c r="A34" s="36">
        <f>Framing_Calcs!J6</f>
        <v>0</v>
      </c>
      <c r="B34" s="38">
        <f>Framing_Calcs!K6</f>
        <v>2840.6209356954005</v>
      </c>
      <c r="C34" s="37"/>
      <c r="D34" s="37"/>
      <c r="E34" s="37"/>
      <c r="F34" s="37">
        <f>B34+C34+D34+E34</f>
        <v>2840.6209356954005</v>
      </c>
      <c r="H34">
        <v>60</v>
      </c>
      <c r="I34" s="28"/>
      <c r="J34" s="35">
        <f>I34/8</f>
        <v>0</v>
      </c>
    </row>
    <row r="35" spans="1:10" ht="12.75">
      <c r="A35" s="36">
        <f>Framing_Calcs!J7</f>
        <v>0</v>
      </c>
      <c r="B35" s="38">
        <f>Framing_Calcs!K7</f>
        <v>3120.3332159999995</v>
      </c>
      <c r="C35" s="37"/>
      <c r="D35" s="37"/>
      <c r="E35" s="37"/>
      <c r="F35" s="37">
        <f>B35+C35+D35+E35</f>
        <v>3120.3332159999995</v>
      </c>
      <c r="H35">
        <v>10</v>
      </c>
      <c r="I35" s="28"/>
      <c r="J35" s="35">
        <f>I35/8</f>
        <v>0</v>
      </c>
    </row>
    <row r="36" spans="1:10" ht="12.75">
      <c r="A36" s="36">
        <f>Framing_Calcs!J8</f>
        <v>0</v>
      </c>
      <c r="B36" s="38">
        <f>Framing_Calcs!K8</f>
        <v>958.5576000000001</v>
      </c>
      <c r="C36" s="37"/>
      <c r="D36" s="37"/>
      <c r="E36" s="37"/>
      <c r="F36" s="37">
        <f>B36+C36+D36+E36</f>
        <v>958.5576000000001</v>
      </c>
      <c r="H36">
        <v>20</v>
      </c>
      <c r="I36" s="28"/>
      <c r="J36" s="35">
        <f>I36/8</f>
        <v>0</v>
      </c>
    </row>
    <row r="37" spans="1:10" ht="12.75">
      <c r="A37" s="36">
        <f>Framing_Calcs!J9</f>
        <v>0</v>
      </c>
      <c r="B37" s="38">
        <f>Framing_Calcs!K9</f>
        <v>16259.863913633333</v>
      </c>
      <c r="C37" s="37"/>
      <c r="D37" s="37"/>
      <c r="E37" s="37"/>
      <c r="F37" s="37">
        <f>B37+C37+D37+E37</f>
        <v>16259.863913633333</v>
      </c>
      <c r="H37">
        <v>10</v>
      </c>
      <c r="I37" s="28"/>
      <c r="J37" s="35">
        <f>I37/8</f>
        <v>0</v>
      </c>
    </row>
    <row r="38" spans="1:10" ht="12.75">
      <c r="A38" s="36">
        <f>Framing_Calcs!J10</f>
        <v>0</v>
      </c>
      <c r="B38" s="38">
        <f>Framing_Calcs!K10</f>
        <v>7162.636323490266</v>
      </c>
      <c r="C38" s="37"/>
      <c r="D38" s="37"/>
      <c r="E38" s="37"/>
      <c r="F38" s="37">
        <f>B38+C38+D38+E38</f>
        <v>7162.636323490266</v>
      </c>
      <c r="H38">
        <v>120</v>
      </c>
      <c r="I38" s="28"/>
      <c r="J38" s="35">
        <f>I38/8</f>
        <v>0</v>
      </c>
    </row>
    <row r="39" spans="1:10" ht="12.75">
      <c r="A39" s="36">
        <f>Framing_Calcs!J11</f>
        <v>0</v>
      </c>
      <c r="B39" s="38">
        <f>Framing_Calcs!K11</f>
        <v>9508.108896</v>
      </c>
      <c r="C39" s="37"/>
      <c r="D39" s="37"/>
      <c r="E39" s="37"/>
      <c r="F39" s="37">
        <f>B39+C39+D39+E39</f>
        <v>9508.108896</v>
      </c>
      <c r="H39">
        <v>60</v>
      </c>
      <c r="I39" s="28"/>
      <c r="J39" s="35">
        <f>I39/8</f>
        <v>0</v>
      </c>
    </row>
    <row r="40" spans="1:10" ht="12.75">
      <c r="A40" s="36">
        <f>Framing_Calcs!J12</f>
        <v>0</v>
      </c>
      <c r="B40" s="38">
        <f>Framing_Calcs!K12</f>
        <v>2250</v>
      </c>
      <c r="C40" s="37"/>
      <c r="D40" s="37"/>
      <c r="E40" s="37"/>
      <c r="F40" s="37">
        <f>B40+C40+D40+E40</f>
        <v>2250</v>
      </c>
      <c r="H40">
        <v>30</v>
      </c>
      <c r="I40" s="28"/>
      <c r="J40" s="35">
        <f>I40/8</f>
        <v>0</v>
      </c>
    </row>
    <row r="41" spans="1:10" ht="12.75">
      <c r="A41" s="36">
        <f>Framing_Calcs!J13</f>
        <v>0</v>
      </c>
      <c r="B41" s="38">
        <f>Framing_Calcs!K13</f>
        <v>0</v>
      </c>
      <c r="C41" s="37"/>
      <c r="D41" s="37"/>
      <c r="E41" s="37"/>
      <c r="F41" s="37">
        <f>B41+C41+D41+E41</f>
        <v>0</v>
      </c>
      <c r="H41">
        <v>0</v>
      </c>
      <c r="I41" s="28"/>
      <c r="J41" s="35">
        <f>I41/8</f>
        <v>0</v>
      </c>
    </row>
    <row r="42" spans="1:10" ht="12.75">
      <c r="A42" s="36">
        <f>Framing_Calcs!J14</f>
        <v>0</v>
      </c>
      <c r="B42" s="39">
        <f>Framing_Calcs!K14</f>
        <v>0</v>
      </c>
      <c r="C42" s="37"/>
      <c r="D42" s="37"/>
      <c r="E42" s="37"/>
      <c r="F42" s="37">
        <f>B42+C42+D42+E42</f>
        <v>0</v>
      </c>
      <c r="H42">
        <v>0</v>
      </c>
      <c r="I42" s="28"/>
      <c r="J42" s="35">
        <f>I42/8</f>
        <v>0</v>
      </c>
    </row>
    <row r="43" spans="1:10" ht="12.75">
      <c r="A43" s="36"/>
      <c r="B43" s="37"/>
      <c r="C43" s="37"/>
      <c r="D43" s="37"/>
      <c r="E43" s="37"/>
      <c r="F43" s="37"/>
      <c r="I43" s="28"/>
      <c r="J43" s="35"/>
    </row>
    <row r="44" spans="1:10" ht="12.75">
      <c r="A44" s="33" t="s">
        <v>77</v>
      </c>
      <c r="B44" s="37"/>
      <c r="C44" s="37"/>
      <c r="D44" s="37"/>
      <c r="E44" s="37"/>
      <c r="F44" s="37"/>
      <c r="G44" s="34">
        <f>Siding!$J$11</f>
        <v>8195.612446622996</v>
      </c>
      <c r="H44" s="28"/>
      <c r="I44" s="28">
        <f>SUM(H45:H50)</f>
        <v>120</v>
      </c>
      <c r="J44" s="35">
        <f>I44/8</f>
        <v>15</v>
      </c>
    </row>
    <row r="45" spans="1:10" ht="12.75">
      <c r="A45" s="36">
        <f>Siding!I4</f>
        <v>0</v>
      </c>
      <c r="B45" s="37">
        <f>Siding!J4</f>
        <v>655.2873853658538</v>
      </c>
      <c r="C45" s="37"/>
      <c r="D45" s="37"/>
      <c r="E45" s="37"/>
      <c r="F45" s="37">
        <f>B45+C45+D45+E45</f>
        <v>655.2873853658538</v>
      </c>
      <c r="H45">
        <v>20</v>
      </c>
      <c r="I45" s="28"/>
      <c r="J45" s="35">
        <f>I45/8</f>
        <v>0</v>
      </c>
    </row>
    <row r="46" spans="1:10" ht="12.75">
      <c r="A46" s="36">
        <f>Siding!I5</f>
        <v>0</v>
      </c>
      <c r="B46" s="37">
        <f>Siding!J5</f>
        <v>5896.953181257143</v>
      </c>
      <c r="C46" s="37"/>
      <c r="D46" s="37"/>
      <c r="E46" s="37"/>
      <c r="F46" s="37">
        <f>B46+C46+D46+E46</f>
        <v>5896.953181257143</v>
      </c>
      <c r="H46">
        <v>80</v>
      </c>
      <c r="I46" s="28"/>
      <c r="J46" s="35">
        <f>I46/8</f>
        <v>0</v>
      </c>
    </row>
    <row r="47" spans="1:10" ht="12.75">
      <c r="A47" s="36">
        <f>Siding!I6</f>
        <v>0</v>
      </c>
      <c r="B47" s="37">
        <f>Siding!J6</f>
        <v>1643.3718800000001</v>
      </c>
      <c r="C47" s="37"/>
      <c r="D47" s="37"/>
      <c r="E47" s="37"/>
      <c r="F47" s="37">
        <f>B47+C47+D47+E47</f>
        <v>1643.3718800000001</v>
      </c>
      <c r="H47">
        <v>20</v>
      </c>
      <c r="I47" s="28"/>
      <c r="J47" s="35">
        <f>I47/8</f>
        <v>0</v>
      </c>
    </row>
    <row r="48" spans="1:10" ht="12.75">
      <c r="A48" s="36">
        <f>Siding!I7</f>
        <v>0</v>
      </c>
      <c r="B48" s="37">
        <f>Siding!J7</f>
        <v>0</v>
      </c>
      <c r="C48" s="37"/>
      <c r="D48" s="37"/>
      <c r="E48" s="37"/>
      <c r="F48" s="37">
        <f>B48+C48+D48+E48</f>
        <v>0</v>
      </c>
      <c r="H48">
        <v>0</v>
      </c>
      <c r="I48" s="28"/>
      <c r="J48" s="35"/>
    </row>
    <row r="49" spans="1:10" ht="12.75">
      <c r="A49" s="36">
        <f>Siding!I8</f>
        <v>0</v>
      </c>
      <c r="B49" s="37">
        <f>Siding!J8</f>
        <v>0</v>
      </c>
      <c r="C49" s="37"/>
      <c r="D49" s="37"/>
      <c r="E49" s="37"/>
      <c r="F49" s="37">
        <f>B49+C49+D49+E49</f>
        <v>0</v>
      </c>
      <c r="H49">
        <v>0</v>
      </c>
      <c r="I49" s="28"/>
      <c r="J49" s="35">
        <f>I49/8</f>
        <v>0</v>
      </c>
    </row>
    <row r="50" spans="1:10" ht="12.75">
      <c r="A50" s="36"/>
      <c r="B50" s="37"/>
      <c r="C50" s="37"/>
      <c r="D50" s="37"/>
      <c r="E50" s="37"/>
      <c r="F50" s="37"/>
      <c r="I50" s="28"/>
      <c r="J50" s="35"/>
    </row>
    <row r="51" spans="1:10" ht="12.75">
      <c r="A51" s="33" t="s">
        <v>78</v>
      </c>
      <c r="B51" s="37"/>
      <c r="C51" s="37"/>
      <c r="D51" s="37"/>
      <c r="E51" s="37"/>
      <c r="F51" s="37"/>
      <c r="G51" s="34">
        <f>Roof_Calcs!K11</f>
        <v>15228.058824647998</v>
      </c>
      <c r="H51" s="28"/>
      <c r="I51" s="28">
        <f>SUM(H52:H59)</f>
        <v>60</v>
      </c>
      <c r="J51" s="35">
        <f>I51/8</f>
        <v>7.5</v>
      </c>
    </row>
    <row r="52" spans="1:10" ht="12.75">
      <c r="A52" s="36">
        <f>Roof_Calcs!J4</f>
        <v>0</v>
      </c>
      <c r="B52" s="37">
        <f>Roof_Calcs!K4</f>
        <v>1272.2818302479998</v>
      </c>
      <c r="C52" s="37"/>
      <c r="D52" s="37"/>
      <c r="E52" s="37"/>
      <c r="F52" s="37">
        <f>B52+C52+D52+E52</f>
        <v>1272.2818302479998</v>
      </c>
      <c r="H52">
        <v>20</v>
      </c>
      <c r="I52" s="28"/>
      <c r="J52" s="35">
        <f>I52/8</f>
        <v>0</v>
      </c>
    </row>
    <row r="53" spans="1:10" ht="12.75">
      <c r="A53" s="36">
        <f>Roof_Calcs!J5</f>
        <v>0</v>
      </c>
      <c r="B53" s="37">
        <f>Roof_Calcs!K5</f>
        <v>13955.7769944</v>
      </c>
      <c r="C53" s="37"/>
      <c r="D53" s="37"/>
      <c r="E53" s="37"/>
      <c r="F53" s="37">
        <f>B53+C53+D53+E53</f>
        <v>13955.7769944</v>
      </c>
      <c r="H53">
        <v>40</v>
      </c>
      <c r="I53" s="28"/>
      <c r="J53" s="35">
        <f>I53/8</f>
        <v>0</v>
      </c>
    </row>
    <row r="54" spans="1:10" ht="12.75">
      <c r="A54" s="36">
        <f>Roof_Calcs!J6</f>
        <v>0</v>
      </c>
      <c r="B54" s="37">
        <f>Roof_Calcs!K6</f>
        <v>0</v>
      </c>
      <c r="C54" s="37"/>
      <c r="D54" s="37"/>
      <c r="E54" s="37"/>
      <c r="F54" s="37">
        <f>B54+C54+D54+E54</f>
        <v>0</v>
      </c>
      <c r="H54">
        <v>0</v>
      </c>
      <c r="I54" s="28"/>
      <c r="J54" s="35">
        <f>I54/8</f>
        <v>0</v>
      </c>
    </row>
    <row r="55" spans="1:10" ht="12.75">
      <c r="A55" s="36">
        <f>Roof_Calcs!J7</f>
        <v>0</v>
      </c>
      <c r="B55" s="37">
        <f>Roof_Calcs!K7</f>
        <v>0</v>
      </c>
      <c r="C55" s="37"/>
      <c r="D55" s="37"/>
      <c r="E55" s="37"/>
      <c r="F55" s="37">
        <f>B55+C55+D55+E55</f>
        <v>0</v>
      </c>
      <c r="H55">
        <v>0</v>
      </c>
      <c r="I55" s="28"/>
      <c r="J55" s="35">
        <f>I55/8</f>
        <v>0</v>
      </c>
    </row>
    <row r="56" spans="1:10" ht="12.75">
      <c r="A56" s="36">
        <f>Roof_Calcs!J8</f>
        <v>0</v>
      </c>
      <c r="B56" s="37">
        <f>Roof_Calcs!K8</f>
        <v>0</v>
      </c>
      <c r="C56" s="37"/>
      <c r="D56" s="37"/>
      <c r="E56" s="37"/>
      <c r="F56" s="37">
        <f>B56+C56+D56+E56</f>
        <v>0</v>
      </c>
      <c r="H56">
        <v>0</v>
      </c>
      <c r="I56" s="28"/>
      <c r="J56" s="35">
        <f>I56/8</f>
        <v>0</v>
      </c>
    </row>
    <row r="57" spans="1:10" ht="12.75">
      <c r="A57" s="36">
        <f>Roof_Calcs!J9</f>
        <v>0</v>
      </c>
      <c r="B57" s="37">
        <f>Roof_Calcs!K9</f>
        <v>0</v>
      </c>
      <c r="C57" s="37"/>
      <c r="D57" s="37"/>
      <c r="E57" s="37"/>
      <c r="F57" s="37">
        <f>B57+C57+D57+E57</f>
        <v>0</v>
      </c>
      <c r="H57">
        <v>0</v>
      </c>
      <c r="I57" s="28"/>
      <c r="J57" s="35">
        <f>I57/8</f>
        <v>0</v>
      </c>
    </row>
    <row r="58" spans="1:10" ht="12.75">
      <c r="A58" s="36">
        <f>Roof_Calcs!J10</f>
        <v>0</v>
      </c>
      <c r="B58" s="37">
        <f>Roof_Calcs!K10</f>
        <v>0</v>
      </c>
      <c r="C58" s="37"/>
      <c r="D58" s="37"/>
      <c r="E58" s="37"/>
      <c r="F58" s="37">
        <f>B58+C58+D58+E58</f>
        <v>0</v>
      </c>
      <c r="H58">
        <v>0</v>
      </c>
      <c r="I58" s="28"/>
      <c r="J58" s="35">
        <f>I58/8</f>
        <v>0</v>
      </c>
    </row>
    <row r="59" spans="1:10" ht="12.75">
      <c r="A59" s="36"/>
      <c r="B59" s="37"/>
      <c r="C59" s="37"/>
      <c r="D59" s="37"/>
      <c r="E59" s="37"/>
      <c r="F59" s="37">
        <f>B59+C59+D59+E59</f>
        <v>0</v>
      </c>
      <c r="I59" s="28"/>
      <c r="J59" s="35">
        <f>I59/8</f>
        <v>0</v>
      </c>
    </row>
    <row r="60" spans="1:10" ht="12.75">
      <c r="A60" s="33" t="s">
        <v>79</v>
      </c>
      <c r="B60" s="40"/>
      <c r="C60" s="37"/>
      <c r="D60" s="37"/>
      <c r="E60" s="37"/>
      <c r="F60" s="37"/>
      <c r="G60" s="34">
        <f>Insulation_Calcs!J7</f>
        <v>11557.133664283565</v>
      </c>
      <c r="H60" s="28"/>
      <c r="I60" s="28">
        <f>SUM(H61:H66)</f>
        <v>53</v>
      </c>
      <c r="J60" s="35">
        <f>I60/8</f>
        <v>6.625</v>
      </c>
    </row>
    <row r="61" spans="1:10" ht="12.75">
      <c r="A61" s="36">
        <f>Insulation_Calcs!I3</f>
        <v>0</v>
      </c>
      <c r="B61" s="37">
        <f>Insulation_Calcs!J3</f>
        <v>1780.12406</v>
      </c>
      <c r="C61" s="37"/>
      <c r="D61" s="37"/>
      <c r="E61" s="37"/>
      <c r="F61" s="37">
        <f>B61+C61+D61+E61</f>
        <v>1780.12406</v>
      </c>
      <c r="H61">
        <v>8</v>
      </c>
      <c r="I61" s="28"/>
      <c r="J61" s="35">
        <f>I61/8</f>
        <v>0</v>
      </c>
    </row>
    <row r="62" spans="1:10" ht="12.75">
      <c r="A62" s="36">
        <f>Insulation_Calcs!I4</f>
        <v>0</v>
      </c>
      <c r="B62" s="37">
        <f>Insulation_Calcs!J4</f>
        <v>2745.6180255230056</v>
      </c>
      <c r="C62" s="37"/>
      <c r="D62" s="37"/>
      <c r="E62" s="37"/>
      <c r="F62" s="37">
        <f>B62+C62+D62+E62</f>
        <v>2745.6180255230056</v>
      </c>
      <c r="H62">
        <v>25</v>
      </c>
      <c r="I62" s="28"/>
      <c r="J62" s="35">
        <f>I62/8</f>
        <v>0</v>
      </c>
    </row>
    <row r="63" spans="1:10" ht="12.75">
      <c r="A63" s="36">
        <f>Insulation_Calcs!I5</f>
        <v>0</v>
      </c>
      <c r="B63" s="37">
        <f>Insulation_Calcs!J5</f>
        <v>7031.391578760558</v>
      </c>
      <c r="C63" s="37"/>
      <c r="D63" s="37"/>
      <c r="E63" s="37"/>
      <c r="F63" s="37">
        <f>B63+C63+D63+E63</f>
        <v>7031.391578760558</v>
      </c>
      <c r="H63">
        <v>20</v>
      </c>
      <c r="I63" s="28"/>
      <c r="J63" s="35">
        <f>I63/8</f>
        <v>0</v>
      </c>
    </row>
    <row r="64" spans="1:10" ht="12.75">
      <c r="A64" s="36">
        <f>Insulation_Calcs!I6</f>
        <v>0</v>
      </c>
      <c r="B64" s="37">
        <f>Insulation_Calcs!J6</f>
        <v>0</v>
      </c>
      <c r="C64" s="37"/>
      <c r="D64" s="37"/>
      <c r="E64" s="37"/>
      <c r="F64" s="37">
        <f>B64+C64+D64+E64</f>
        <v>0</v>
      </c>
      <c r="I64" s="28"/>
      <c r="J64" s="35">
        <f>I64/8</f>
        <v>0</v>
      </c>
    </row>
    <row r="65" spans="1:10" ht="12.75">
      <c r="A65" s="36"/>
      <c r="B65" s="37"/>
      <c r="C65" s="37"/>
      <c r="D65" s="37"/>
      <c r="E65" s="37"/>
      <c r="F65" s="37">
        <f>B65+C65+D65+E65</f>
        <v>0</v>
      </c>
      <c r="I65" s="28"/>
      <c r="J65" s="35">
        <f>I65/8</f>
        <v>0</v>
      </c>
    </row>
    <row r="66" spans="1:10" ht="12.75">
      <c r="A66" s="36"/>
      <c r="B66" s="37"/>
      <c r="C66" s="37"/>
      <c r="D66" s="37"/>
      <c r="E66" s="37"/>
      <c r="F66" s="37">
        <f>B66+C66+D66+E66</f>
        <v>0</v>
      </c>
      <c r="I66" s="28"/>
      <c r="J66" s="35">
        <f>I66/8</f>
        <v>0</v>
      </c>
    </row>
    <row r="67" spans="1:10" ht="12.75">
      <c r="A67" s="33" t="s">
        <v>80</v>
      </c>
      <c r="B67" s="37"/>
      <c r="C67" s="37"/>
      <c r="D67" s="37"/>
      <c r="E67" s="37"/>
      <c r="F67" s="37"/>
      <c r="G67" s="34">
        <f>Finishing_Calcs!J15</f>
        <v>63142.21237639655</v>
      </c>
      <c r="H67" s="28"/>
      <c r="I67" s="28">
        <f>SUM(H68:H79)</f>
        <v>471</v>
      </c>
      <c r="J67" s="35">
        <f>I67/8</f>
        <v>58.875</v>
      </c>
    </row>
    <row r="68" spans="1:10" ht="12.75">
      <c r="A68" s="36">
        <f>Finishing_Calcs!I4</f>
        <v>0</v>
      </c>
      <c r="B68" s="37">
        <f>Finishing_Calcs!J4</f>
        <v>8824.409905535713</v>
      </c>
      <c r="C68" s="37"/>
      <c r="D68" s="37"/>
      <c r="E68" s="37"/>
      <c r="F68" s="37">
        <f>B68+C68+D68+E68</f>
        <v>8824.409905535713</v>
      </c>
      <c r="H68">
        <v>120</v>
      </c>
      <c r="I68" s="28"/>
      <c r="J68" s="35">
        <f>I68/8</f>
        <v>0</v>
      </c>
    </row>
    <row r="69" spans="1:10" ht="12.75">
      <c r="A69" s="36">
        <f>Finishing_Calcs!I5</f>
        <v>0</v>
      </c>
      <c r="B69" s="37">
        <f>Finishing_Calcs!J5</f>
        <v>14296.521504860833</v>
      </c>
      <c r="C69" s="41"/>
      <c r="D69" s="41"/>
      <c r="E69" s="41"/>
      <c r="F69" s="37">
        <f>B69+C69+D69+E69</f>
        <v>14296.521504860833</v>
      </c>
      <c r="H69">
        <v>75</v>
      </c>
      <c r="I69" s="28"/>
      <c r="J69" s="35">
        <f>I69/8</f>
        <v>0</v>
      </c>
    </row>
    <row r="70" spans="1:10" ht="12.75">
      <c r="A70" s="36">
        <f>Finishing_Calcs!I6</f>
        <v>0</v>
      </c>
      <c r="B70" s="37">
        <f>Finishing_Calcs!J6</f>
        <v>6399.437044</v>
      </c>
      <c r="C70" s="37"/>
      <c r="D70" s="37"/>
      <c r="E70" s="37"/>
      <c r="F70" s="37">
        <f>B70+C70+D70+E70</f>
        <v>6399.437044</v>
      </c>
      <c r="H70">
        <v>30</v>
      </c>
      <c r="I70" s="28"/>
      <c r="J70" s="35">
        <f>I70/8</f>
        <v>0</v>
      </c>
    </row>
    <row r="71" spans="1:10" ht="12.75">
      <c r="A71" s="36">
        <f>Finishing_Calcs!I7</f>
        <v>0</v>
      </c>
      <c r="B71" s="37">
        <f>Finishing_Calcs!J7</f>
        <v>13018.856807999997</v>
      </c>
      <c r="C71" s="37"/>
      <c r="D71" s="37"/>
      <c r="E71" s="37"/>
      <c r="F71" s="37">
        <f>B71+C71+D71+E71</f>
        <v>13018.856807999997</v>
      </c>
      <c r="H71">
        <v>20</v>
      </c>
      <c r="I71" s="28"/>
      <c r="J71" s="35">
        <f>I71/8</f>
        <v>0</v>
      </c>
    </row>
    <row r="72" spans="1:10" ht="12.75">
      <c r="A72" s="36">
        <f>Finishing_Calcs!I8</f>
        <v>0</v>
      </c>
      <c r="B72" s="37">
        <f>Finishing_Calcs!J8</f>
        <v>918.46351</v>
      </c>
      <c r="C72" s="37"/>
      <c r="D72" s="37"/>
      <c r="E72" s="37"/>
      <c r="F72" s="37">
        <f>B72+C72+D72+E72</f>
        <v>918.46351</v>
      </c>
      <c r="H72">
        <v>10</v>
      </c>
      <c r="I72" s="28"/>
      <c r="J72" s="35">
        <f>I72/8</f>
        <v>0</v>
      </c>
    </row>
    <row r="73" spans="1:10" ht="12.75">
      <c r="A73" s="36">
        <f>Finishing_Calcs!I9</f>
        <v>0</v>
      </c>
      <c r="B73" s="37">
        <f>Finishing_Calcs!J9</f>
        <v>8200</v>
      </c>
      <c r="C73" s="37"/>
      <c r="D73" s="37"/>
      <c r="E73" s="37"/>
      <c r="F73" s="37">
        <f>B73+C73+D73+E73</f>
        <v>8200</v>
      </c>
      <c r="H73">
        <v>20</v>
      </c>
      <c r="I73" s="28"/>
      <c r="J73" s="35">
        <f>I73/8</f>
        <v>0</v>
      </c>
    </row>
    <row r="74" spans="1:10" ht="12.75">
      <c r="A74" s="36">
        <f>Finishing_Calcs!I10</f>
        <v>0</v>
      </c>
      <c r="B74" s="37">
        <f>Finishing_Calcs!J10</f>
        <v>8455</v>
      </c>
      <c r="C74" s="37"/>
      <c r="D74" s="37"/>
      <c r="E74" s="37"/>
      <c r="F74" s="37">
        <f>B74+C74+D74+E74</f>
        <v>8455</v>
      </c>
      <c r="H74">
        <v>8</v>
      </c>
      <c r="I74" s="28"/>
      <c r="J74" s="35">
        <f>I74/8</f>
        <v>0</v>
      </c>
    </row>
    <row r="75" spans="1:10" ht="12.75">
      <c r="A75" s="36">
        <f>Finishing_Calcs!I11</f>
        <v>0</v>
      </c>
      <c r="B75" s="37">
        <f>Finishing_Calcs!J11</f>
        <v>2360.9534519999997</v>
      </c>
      <c r="C75" s="37"/>
      <c r="D75" s="37"/>
      <c r="E75" s="37"/>
      <c r="F75" s="37">
        <f>B75+C75+D75+E75</f>
        <v>2360.9534519999997</v>
      </c>
      <c r="H75">
        <v>8</v>
      </c>
      <c r="I75" s="28"/>
      <c r="J75" s="35">
        <f>I75/8</f>
        <v>0</v>
      </c>
    </row>
    <row r="76" spans="1:10" ht="12.75">
      <c r="A76" s="36">
        <f>Finishing_Calcs!I12</f>
        <v>0</v>
      </c>
      <c r="B76" s="37">
        <f>Finishing_Calcs!J12</f>
        <v>668.570152</v>
      </c>
      <c r="C76" s="37"/>
      <c r="D76" s="37"/>
      <c r="E76" s="37"/>
      <c r="F76" s="37">
        <f>B76+C76+D76+E76</f>
        <v>668.570152</v>
      </c>
      <c r="H76">
        <v>120</v>
      </c>
      <c r="I76" s="28"/>
      <c r="J76" s="35">
        <f>I76/8</f>
        <v>0</v>
      </c>
    </row>
    <row r="77" spans="1:10" ht="12.75">
      <c r="A77" s="36">
        <f>Finishing_Calcs!I13</f>
        <v>0</v>
      </c>
      <c r="B77" s="37">
        <f>Finishing_Calcs!J13</f>
        <v>0</v>
      </c>
      <c r="C77" s="37"/>
      <c r="D77" s="37"/>
      <c r="E77" s="37"/>
      <c r="F77" s="37">
        <f>B77+C77+D77+E77</f>
        <v>0</v>
      </c>
      <c r="H77">
        <v>60</v>
      </c>
      <c r="I77" s="28"/>
      <c r="J77" s="35">
        <f>I77/8</f>
        <v>0</v>
      </c>
    </row>
    <row r="78" spans="1:10" ht="12.75">
      <c r="A78" s="36">
        <f>Finishing_Calcs!I14</f>
        <v>0</v>
      </c>
      <c r="B78" s="37">
        <f>Finishing_Calcs!J14</f>
        <v>0</v>
      </c>
      <c r="C78" s="37"/>
      <c r="D78" s="37"/>
      <c r="E78" s="37"/>
      <c r="F78" s="37">
        <f>B78+C78+D78+E78</f>
        <v>0</v>
      </c>
      <c r="I78" s="28"/>
      <c r="J78" s="35">
        <f>I78/8</f>
        <v>0</v>
      </c>
    </row>
    <row r="79" spans="1:10" ht="12.75">
      <c r="A79" s="42"/>
      <c r="B79" s="37"/>
      <c r="C79" s="37"/>
      <c r="D79" s="37"/>
      <c r="E79" s="37"/>
      <c r="F79" s="37">
        <f>B79+C79+D79+E79</f>
        <v>0</v>
      </c>
      <c r="I79" s="28"/>
      <c r="J79" s="35">
        <f>I79/8</f>
        <v>0</v>
      </c>
    </row>
    <row r="80" spans="1:10" ht="12.75">
      <c r="A80" s="43" t="s">
        <v>81</v>
      </c>
      <c r="B80" s="37"/>
      <c r="C80" s="37"/>
      <c r="D80" s="37"/>
      <c r="E80" s="37"/>
      <c r="F80" s="37"/>
      <c r="G80" s="34">
        <f>Appliances!J7</f>
        <v>14208.711799999997</v>
      </c>
      <c r="H80" s="28"/>
      <c r="I80" s="28">
        <f>SUM(H81:H99)</f>
        <v>65</v>
      </c>
      <c r="J80" s="35">
        <f>I80/8</f>
        <v>8.125</v>
      </c>
    </row>
    <row r="81" spans="1:10" ht="12.75">
      <c r="A81" s="44">
        <f>Appliances!B5</f>
        <v>0</v>
      </c>
      <c r="B81" s="37">
        <f>Appliances!G5</f>
        <v>790.32096</v>
      </c>
      <c r="C81" s="37"/>
      <c r="D81" s="37"/>
      <c r="E81" s="37"/>
      <c r="F81" s="37">
        <f>B81+C81+D81+E81</f>
        <v>790.32096</v>
      </c>
      <c r="H81">
        <v>2</v>
      </c>
      <c r="I81" s="28"/>
      <c r="J81" s="35">
        <f>I81/8</f>
        <v>0</v>
      </c>
    </row>
    <row r="82" spans="1:10" ht="12.75">
      <c r="A82" s="44">
        <f>Appliances!B6</f>
        <v>0</v>
      </c>
      <c r="B82" s="37">
        <f>Appliances!G6</f>
        <v>899.8704</v>
      </c>
      <c r="C82" s="37"/>
      <c r="D82" s="37"/>
      <c r="E82" s="37"/>
      <c r="F82" s="37">
        <f>B82+C82+D82+E82</f>
        <v>899.8704</v>
      </c>
      <c r="H82">
        <v>2</v>
      </c>
      <c r="I82" s="28"/>
      <c r="J82" s="35">
        <f>I82/8</f>
        <v>0</v>
      </c>
    </row>
    <row r="83" spans="1:10" ht="12.75">
      <c r="A83" s="44">
        <f>Appliances!B7</f>
        <v>0</v>
      </c>
      <c r="B83" s="37">
        <f>Appliances!G7</f>
        <v>976.16376</v>
      </c>
      <c r="C83" s="37"/>
      <c r="D83" s="37"/>
      <c r="E83" s="37"/>
      <c r="F83" s="37">
        <f>B83+C83+D83+E83</f>
        <v>976.16376</v>
      </c>
      <c r="H83">
        <v>2</v>
      </c>
      <c r="I83" s="28"/>
      <c r="J83" s="35">
        <f>I83/8</f>
        <v>0</v>
      </c>
    </row>
    <row r="84" spans="1:10" ht="12.75">
      <c r="A84" s="44">
        <f>Appliances!B8</f>
        <v>0</v>
      </c>
      <c r="B84" s="37">
        <f>Appliances!G8</f>
        <v>1520.4332</v>
      </c>
      <c r="C84" s="37"/>
      <c r="D84" s="37"/>
      <c r="E84" s="37"/>
      <c r="F84" s="37">
        <f>B84+C84+D84+E84</f>
        <v>1520.4332</v>
      </c>
      <c r="H84">
        <v>4</v>
      </c>
      <c r="I84" s="28"/>
      <c r="J84" s="35">
        <f>I84/8</f>
        <v>0</v>
      </c>
    </row>
    <row r="85" spans="1:10" ht="12.75">
      <c r="A85" s="44">
        <f>Appliances!B9</f>
        <v>0</v>
      </c>
      <c r="B85" s="37">
        <f>Appliances!G9</f>
        <v>1411.7532</v>
      </c>
      <c r="C85" s="37"/>
      <c r="D85" s="37"/>
      <c r="E85" s="37"/>
      <c r="F85" s="37">
        <f>B85+C85+D85+E85</f>
        <v>1411.7532</v>
      </c>
      <c r="H85">
        <v>1</v>
      </c>
      <c r="I85" s="28"/>
      <c r="J85" s="35">
        <f>I85/8</f>
        <v>0</v>
      </c>
    </row>
    <row r="86" spans="1:10" ht="12.75">
      <c r="A86" s="44">
        <f>Appliances!B10</f>
        <v>0</v>
      </c>
      <c r="B86" s="37">
        <f>Appliances!G10</f>
        <v>420.59159999999997</v>
      </c>
      <c r="C86" s="37"/>
      <c r="D86" s="37"/>
      <c r="E86" s="37"/>
      <c r="F86" s="37">
        <f>B86+C86+D86+E86</f>
        <v>420.59159999999997</v>
      </c>
      <c r="H86">
        <v>4</v>
      </c>
      <c r="I86" s="28"/>
      <c r="J86" s="35">
        <f>I86/8</f>
        <v>0</v>
      </c>
    </row>
    <row r="87" spans="1:10" ht="12.75">
      <c r="A87" s="44">
        <f>Appliances!B11</f>
        <v>0</v>
      </c>
      <c r="B87" s="37">
        <f>Appliances!G11</f>
        <v>977.0332</v>
      </c>
      <c r="C87" s="37"/>
      <c r="D87" s="37"/>
      <c r="E87" s="37"/>
      <c r="F87" s="37">
        <f>B87+C87+D87+E87</f>
        <v>977.0332</v>
      </c>
      <c r="H87">
        <v>4</v>
      </c>
      <c r="I87" s="28"/>
      <c r="J87" s="35">
        <f>I87/8</f>
        <v>0</v>
      </c>
    </row>
    <row r="88" spans="1:10" ht="12.75">
      <c r="A88" s="44">
        <f>Appliances!B12</f>
        <v>0</v>
      </c>
      <c r="B88" s="37">
        <f>Appliances!G12</f>
        <v>1845.3864</v>
      </c>
      <c r="C88" s="37"/>
      <c r="D88" s="37"/>
      <c r="E88" s="37"/>
      <c r="F88" s="37">
        <f>B88+C88+D88+E88</f>
        <v>1845.3864</v>
      </c>
      <c r="H88">
        <v>15</v>
      </c>
      <c r="I88" s="28"/>
      <c r="J88" s="35">
        <f>I88/8</f>
        <v>0</v>
      </c>
    </row>
    <row r="89" spans="1:10" ht="12.75">
      <c r="A89" s="44">
        <f>Appliances!B13</f>
        <v>0</v>
      </c>
      <c r="B89" s="37">
        <f>Appliances!G13</f>
        <v>1900.8132</v>
      </c>
      <c r="C89" s="37"/>
      <c r="D89" s="37"/>
      <c r="E89" s="37"/>
      <c r="F89" s="37">
        <f>B89+C89+D89+E89</f>
        <v>1900.8132</v>
      </c>
      <c r="H89">
        <v>15</v>
      </c>
      <c r="I89" s="28"/>
      <c r="J89" s="35">
        <f>I89/8</f>
        <v>0</v>
      </c>
    </row>
    <row r="90" spans="1:10" ht="12.75">
      <c r="A90" s="44">
        <f>Appliances!B14</f>
        <v>0</v>
      </c>
      <c r="B90" s="37">
        <f>Appliances!G14</f>
        <v>1875.05604</v>
      </c>
      <c r="C90" s="37"/>
      <c r="D90" s="37"/>
      <c r="E90" s="37"/>
      <c r="F90" s="37">
        <f>B90+C90+D90+E90</f>
        <v>1875.05604</v>
      </c>
      <c r="H90">
        <v>2</v>
      </c>
      <c r="I90" s="28"/>
      <c r="J90" s="35">
        <f>I90/8</f>
        <v>0</v>
      </c>
    </row>
    <row r="91" spans="1:10" ht="12.75">
      <c r="A91" s="44">
        <f>Appliances!B15</f>
        <v>0</v>
      </c>
      <c r="B91" s="37">
        <f>Appliances!G15</f>
        <v>281.4812</v>
      </c>
      <c r="C91" s="37"/>
      <c r="D91" s="37"/>
      <c r="E91" s="37"/>
      <c r="F91" s="37">
        <f>B91+C91+D91+E91</f>
        <v>281.4812</v>
      </c>
      <c r="H91">
        <v>4</v>
      </c>
      <c r="I91" s="28"/>
      <c r="J91" s="35">
        <f>I91/8</f>
        <v>0</v>
      </c>
    </row>
    <row r="92" spans="1:10" ht="12.75">
      <c r="A92" s="44">
        <f>Appliances!B16</f>
        <v>0</v>
      </c>
      <c r="B92" s="37">
        <f>Appliances!G16</f>
        <v>1497.056132</v>
      </c>
      <c r="C92" s="37"/>
      <c r="D92" s="37"/>
      <c r="E92" s="37"/>
      <c r="F92" s="37">
        <f>B92+C92+D92+E92</f>
        <v>1497.056132</v>
      </c>
      <c r="H92">
        <v>2</v>
      </c>
      <c r="I92" s="28"/>
      <c r="J92" s="35">
        <f>I92/8</f>
        <v>0</v>
      </c>
    </row>
    <row r="93" spans="1:10" ht="12.75">
      <c r="A93" s="44">
        <f>Appliances!B17</f>
        <v>0</v>
      </c>
      <c r="B93" s="37">
        <f>Appliances!G17</f>
        <v>556.3981279999999</v>
      </c>
      <c r="C93" s="37"/>
      <c r="D93" s="37"/>
      <c r="E93" s="37"/>
      <c r="F93" s="37">
        <f>B93+C93+D93+E93</f>
        <v>556.3981279999999</v>
      </c>
      <c r="H93">
        <v>4</v>
      </c>
      <c r="I93" s="28"/>
      <c r="J93" s="35">
        <f>I93/8</f>
        <v>0</v>
      </c>
    </row>
    <row r="94" spans="1:10" ht="12.75">
      <c r="A94" s="44">
        <f>Appliances!B18</f>
        <v>0</v>
      </c>
      <c r="B94" s="37">
        <f>Appliances!G18</f>
        <v>3000</v>
      </c>
      <c r="C94" s="37"/>
      <c r="D94" s="37"/>
      <c r="E94" s="37"/>
      <c r="F94" s="37">
        <f>B94+C94+D94+E94</f>
        <v>3000</v>
      </c>
      <c r="H94">
        <v>4</v>
      </c>
      <c r="I94" s="28"/>
      <c r="J94" s="35">
        <f>I94/8</f>
        <v>0</v>
      </c>
    </row>
    <row r="95" spans="1:10" ht="12.75">
      <c r="A95" s="44">
        <f>Appliances!B19</f>
        <v>0</v>
      </c>
      <c r="B95" s="37">
        <f>Appliances!G19</f>
        <v>-1690.19136</v>
      </c>
      <c r="C95" s="37"/>
      <c r="D95" s="37"/>
      <c r="E95" s="37"/>
      <c r="F95" s="37">
        <f>B95+C95+D95+E95</f>
        <v>-1690.19136</v>
      </c>
      <c r="H95">
        <v>0</v>
      </c>
      <c r="I95" s="28"/>
      <c r="J95" s="35">
        <f>I95/8</f>
        <v>0</v>
      </c>
    </row>
    <row r="96" spans="1:10" ht="12.75">
      <c r="A96" s="44">
        <f>Appliances!B20</f>
        <v>0</v>
      </c>
      <c r="B96" s="37">
        <f>Appliances!G20</f>
        <v>-2053.45426</v>
      </c>
      <c r="C96" s="37"/>
      <c r="D96" s="37"/>
      <c r="E96" s="37"/>
      <c r="F96" s="37">
        <f>B96+C96+D96+E96</f>
        <v>-2053.45426</v>
      </c>
      <c r="H96">
        <v>0</v>
      </c>
      <c r="I96" s="28"/>
      <c r="J96" s="35">
        <f>I96/8</f>
        <v>0</v>
      </c>
    </row>
    <row r="97" spans="1:10" ht="12.75">
      <c r="A97" s="44">
        <f>Appliances!B21</f>
        <v>0</v>
      </c>
      <c r="B97" s="37">
        <f>Appliances!G21</f>
        <v>0</v>
      </c>
      <c r="C97" s="37"/>
      <c r="D97" s="37"/>
      <c r="E97" s="37"/>
      <c r="F97" s="37">
        <f>B97+C97+D97+E97</f>
        <v>0</v>
      </c>
      <c r="H97">
        <v>0</v>
      </c>
      <c r="I97" s="28"/>
      <c r="J97" s="35">
        <f>I97/8</f>
        <v>0</v>
      </c>
    </row>
    <row r="98" spans="1:10" ht="12.75">
      <c r="A98" s="44">
        <f>Appliances!B22</f>
        <v>0</v>
      </c>
      <c r="B98" s="37">
        <f>Appliances!G22</f>
        <v>0</v>
      </c>
      <c r="C98" s="37"/>
      <c r="D98" s="37"/>
      <c r="E98" s="37"/>
      <c r="F98" s="37">
        <f>B98+C98+D98+E98</f>
        <v>0</v>
      </c>
      <c r="H98">
        <v>0</v>
      </c>
      <c r="I98" s="28"/>
      <c r="J98" s="35">
        <f>I98/8</f>
        <v>0</v>
      </c>
    </row>
    <row r="99" spans="1:10" ht="12.75">
      <c r="A99" s="44"/>
      <c r="B99" s="37"/>
      <c r="C99" s="37"/>
      <c r="D99" s="37"/>
      <c r="E99" s="37"/>
      <c r="F99" s="37"/>
      <c r="I99" s="28"/>
      <c r="J99" s="35"/>
    </row>
    <row r="100" spans="1:10" ht="12.75">
      <c r="A100" s="43" t="s">
        <v>82</v>
      </c>
      <c r="B100" s="37"/>
      <c r="C100" s="37"/>
      <c r="D100" s="37"/>
      <c r="E100" s="37"/>
      <c r="F100" s="37"/>
      <c r="G100" s="34">
        <f>HVAC!J9</f>
        <v>15280</v>
      </c>
      <c r="H100" s="28"/>
      <c r="I100" s="28">
        <f>SUM(H101:H105)</f>
        <v>120</v>
      </c>
      <c r="J100" s="35">
        <f>I100/8</f>
        <v>15</v>
      </c>
    </row>
    <row r="101" spans="1:10" ht="12.75">
      <c r="A101" s="44">
        <f>HVAC!I4</f>
        <v>0</v>
      </c>
      <c r="B101" s="37">
        <f>HVAC!J4</f>
        <v>13230</v>
      </c>
      <c r="C101" s="37"/>
      <c r="D101" s="37"/>
      <c r="E101" s="37"/>
      <c r="F101" s="37">
        <f>B101+C101+D101+E101</f>
        <v>13230</v>
      </c>
      <c r="H101">
        <v>60</v>
      </c>
      <c r="I101" s="28"/>
      <c r="J101" s="35">
        <f>I101/8</f>
        <v>0</v>
      </c>
    </row>
    <row r="102" spans="1:10" ht="12.75">
      <c r="A102" s="44">
        <f>HVAC!I5</f>
        <v>0</v>
      </c>
      <c r="B102" s="37">
        <f>HVAC!J5</f>
        <v>500</v>
      </c>
      <c r="C102" s="37"/>
      <c r="D102" s="37"/>
      <c r="E102" s="37"/>
      <c r="F102" s="37">
        <f>B102+C102+D102+E102</f>
        <v>500</v>
      </c>
      <c r="H102">
        <v>40</v>
      </c>
      <c r="I102" s="28"/>
      <c r="J102" s="35">
        <f>I102/8</f>
        <v>0</v>
      </c>
    </row>
    <row r="103" spans="1:10" ht="12.75">
      <c r="A103" s="44">
        <f>HVAC!I6</f>
        <v>0</v>
      </c>
      <c r="B103" s="37">
        <f>HVAC!J6</f>
        <v>1550</v>
      </c>
      <c r="C103" s="37"/>
      <c r="D103" s="37"/>
      <c r="E103" s="37"/>
      <c r="F103" s="37">
        <f>B103+C103+D103+E103</f>
        <v>1550</v>
      </c>
      <c r="H103">
        <v>20</v>
      </c>
      <c r="I103" s="28"/>
      <c r="J103" s="35">
        <f>I103/8</f>
        <v>0</v>
      </c>
    </row>
    <row r="104" spans="1:10" ht="12.75">
      <c r="A104" s="44">
        <f>HVAC!I7</f>
        <v>0</v>
      </c>
      <c r="B104" s="37">
        <f>HVAC!J7</f>
        <v>0</v>
      </c>
      <c r="C104" s="37"/>
      <c r="D104" s="37"/>
      <c r="E104" s="37"/>
      <c r="F104" s="37">
        <f>B104+C104+D104+E104</f>
        <v>0</v>
      </c>
      <c r="I104" s="28"/>
      <c r="J104" s="35">
        <f>I104/8</f>
        <v>0</v>
      </c>
    </row>
    <row r="105" spans="1:10" ht="12.75">
      <c r="A105" s="42"/>
      <c r="B105" s="37"/>
      <c r="C105" s="37"/>
      <c r="D105" s="37"/>
      <c r="E105" s="37"/>
      <c r="F105" s="37">
        <f>B105+C105+D105+E105</f>
        <v>0</v>
      </c>
      <c r="I105" s="28"/>
      <c r="J105" s="35">
        <f>I105/8</f>
        <v>0</v>
      </c>
    </row>
    <row r="106" spans="1:10" ht="12.75">
      <c r="A106" s="43" t="s">
        <v>83</v>
      </c>
      <c r="B106" s="37"/>
      <c r="C106" s="37"/>
      <c r="D106" s="37"/>
      <c r="E106" s="37"/>
      <c r="F106" s="37"/>
      <c r="G106" s="34">
        <f>Plumbing!J9</f>
        <v>5217</v>
      </c>
      <c r="H106" s="28"/>
      <c r="I106" s="28">
        <f>SUM(H107:H111)</f>
        <v>100</v>
      </c>
      <c r="J106" s="35">
        <f>I106/8</f>
        <v>12.5</v>
      </c>
    </row>
    <row r="107" spans="1:10" ht="12.75">
      <c r="A107" s="44">
        <f>Plumbing!I4</f>
        <v>0</v>
      </c>
      <c r="B107" s="37">
        <f>Plumbing!J4</f>
        <v>2471</v>
      </c>
      <c r="C107" s="37"/>
      <c r="D107" s="37"/>
      <c r="E107" s="37"/>
      <c r="F107" s="37">
        <f>B107+C107+D107+E107</f>
        <v>2471</v>
      </c>
      <c r="H107" s="45">
        <v>50</v>
      </c>
      <c r="I107" s="28"/>
      <c r="J107" s="35">
        <f>I107/8</f>
        <v>0</v>
      </c>
    </row>
    <row r="108" spans="1:10" ht="12.75">
      <c r="A108" s="44">
        <f>Plumbing!I5</f>
        <v>0</v>
      </c>
      <c r="B108" s="37">
        <f>Plumbing!J5</f>
        <v>2471</v>
      </c>
      <c r="C108" s="37"/>
      <c r="D108" s="37"/>
      <c r="E108" s="37"/>
      <c r="F108" s="37">
        <f>B108+C108+D108+E108</f>
        <v>2471</v>
      </c>
      <c r="H108">
        <v>40</v>
      </c>
      <c r="I108" s="28"/>
      <c r="J108" s="35">
        <f>I108/8</f>
        <v>0</v>
      </c>
    </row>
    <row r="109" spans="1:10" ht="12.75">
      <c r="A109" s="44">
        <f>Plumbing!I6</f>
        <v>0</v>
      </c>
      <c r="B109" s="37">
        <f>Plumbing!J6</f>
        <v>275</v>
      </c>
      <c r="C109" s="37"/>
      <c r="D109" s="37"/>
      <c r="E109" s="37"/>
      <c r="F109" s="37">
        <f>B109+C109+D109+E109</f>
        <v>275</v>
      </c>
      <c r="H109">
        <v>10</v>
      </c>
      <c r="I109" s="28"/>
      <c r="J109" s="35">
        <f>I109/8</f>
        <v>0</v>
      </c>
    </row>
    <row r="110" spans="1:10" ht="12.75">
      <c r="A110" s="44">
        <f>Plumbing!I7</f>
        <v>0</v>
      </c>
      <c r="B110" s="40">
        <f>Plumbing!J7</f>
        <v>0</v>
      </c>
      <c r="C110" s="37"/>
      <c r="D110" s="37"/>
      <c r="E110" s="37"/>
      <c r="F110" s="37">
        <f>B110+C110+D110+E110</f>
        <v>0</v>
      </c>
      <c r="I110" s="28"/>
      <c r="J110" s="35">
        <f>I110/8</f>
        <v>0</v>
      </c>
    </row>
    <row r="111" spans="1:10" ht="12.75">
      <c r="A111" s="42"/>
      <c r="B111" s="37"/>
      <c r="C111" s="37"/>
      <c r="D111" s="37"/>
      <c r="E111" s="37"/>
      <c r="F111" s="37">
        <f>B111+C111+D111+E111</f>
        <v>0</v>
      </c>
      <c r="I111" s="28"/>
      <c r="J111" s="35">
        <f>I111/8</f>
        <v>0</v>
      </c>
    </row>
    <row r="112" spans="1:10" ht="12.75">
      <c r="A112" s="43" t="s">
        <v>84</v>
      </c>
      <c r="B112" s="37"/>
      <c r="C112" s="37"/>
      <c r="D112" s="37"/>
      <c r="E112" s="37"/>
      <c r="F112" s="37"/>
      <c r="G112" s="34">
        <f>Elec_Calcs!J7</f>
        <v>11000</v>
      </c>
      <c r="H112" s="28"/>
      <c r="I112" s="28">
        <f>SUM(H113:H115)</f>
        <v>95</v>
      </c>
      <c r="J112" s="35">
        <f>I112/8</f>
        <v>11.875</v>
      </c>
    </row>
    <row r="113" spans="1:10" ht="12.75">
      <c r="A113" s="44">
        <f>Elec_Calcs!I4</f>
        <v>0</v>
      </c>
      <c r="B113" s="37">
        <f>Elec_Calcs!J4</f>
        <v>11000</v>
      </c>
      <c r="C113" s="37"/>
      <c r="D113" s="37"/>
      <c r="E113" s="37"/>
      <c r="F113" s="37">
        <f>B113+C113+D113+E113</f>
        <v>11000</v>
      </c>
      <c r="H113">
        <v>95</v>
      </c>
      <c r="I113" s="28"/>
      <c r="J113" s="35">
        <f>I113/8</f>
        <v>0</v>
      </c>
    </row>
    <row r="114" spans="1:10" ht="12.75">
      <c r="A114" s="44">
        <f>Elec_Calcs!I5</f>
        <v>0</v>
      </c>
      <c r="B114" s="40">
        <f>Elec_Calcs!J5</f>
        <v>0</v>
      </c>
      <c r="C114" s="37"/>
      <c r="D114" s="37"/>
      <c r="E114" s="37"/>
      <c r="F114" s="37">
        <f>B114+C114+D114+E114</f>
        <v>0</v>
      </c>
      <c r="I114" s="28"/>
      <c r="J114" s="35">
        <f>I114/8</f>
        <v>0</v>
      </c>
    </row>
    <row r="115" spans="1:10" ht="12.75">
      <c r="A115" s="42"/>
      <c r="B115" s="37"/>
      <c r="C115" s="37"/>
      <c r="D115" s="37"/>
      <c r="E115" s="37"/>
      <c r="F115" s="37">
        <f>B115+C115+D115+E115</f>
        <v>0</v>
      </c>
      <c r="I115" s="28"/>
      <c r="J115" s="35">
        <f>I115/8</f>
        <v>0</v>
      </c>
    </row>
    <row r="116" spans="1:10" ht="12.75">
      <c r="A116" s="43" t="s">
        <v>85</v>
      </c>
      <c r="B116" s="37"/>
      <c r="C116" s="37"/>
      <c r="D116" s="37"/>
      <c r="E116" s="37"/>
      <c r="F116" s="37"/>
      <c r="G116" s="34">
        <f>FireSprinkler!J7</f>
        <v>0</v>
      </c>
      <c r="H116" s="28"/>
      <c r="I116" s="28">
        <f>SUM(H117:H119)</f>
        <v>0</v>
      </c>
      <c r="J116" s="35">
        <f>I116/8</f>
        <v>0</v>
      </c>
    </row>
    <row r="117" spans="1:10" ht="12.75">
      <c r="A117" s="44">
        <f>FireSprinkler!I4</f>
        <v>0</v>
      </c>
      <c r="B117" s="37">
        <f>FireSprinkler!J4</f>
        <v>0</v>
      </c>
      <c r="C117" s="37"/>
      <c r="D117" s="37"/>
      <c r="E117" s="37"/>
      <c r="F117" s="37">
        <f>B117+C117+D117+E117</f>
        <v>0</v>
      </c>
      <c r="H117">
        <v>0</v>
      </c>
      <c r="I117" s="28"/>
      <c r="J117" s="35">
        <f>I117/8</f>
        <v>0</v>
      </c>
    </row>
    <row r="118" spans="1:10" ht="12.75">
      <c r="A118" s="44">
        <f>FireSprinkler!I5</f>
        <v>0</v>
      </c>
      <c r="B118" s="40">
        <f>FireSprinkler!J5</f>
        <v>0</v>
      </c>
      <c r="C118" s="37"/>
      <c r="D118" s="37"/>
      <c r="E118" s="37"/>
      <c r="F118" s="37">
        <f>B118+C118+D118+E118</f>
        <v>0</v>
      </c>
      <c r="I118" s="28"/>
      <c r="J118" s="35">
        <f>I118/8</f>
        <v>0</v>
      </c>
    </row>
    <row r="119" spans="1:10" ht="12.75">
      <c r="A119" s="42"/>
      <c r="B119" s="37"/>
      <c r="C119" s="37"/>
      <c r="D119" s="37"/>
      <c r="E119" s="37"/>
      <c r="F119" s="37">
        <f>B119+C119+D119+E119</f>
        <v>0</v>
      </c>
      <c r="I119" s="28"/>
      <c r="J119" s="35">
        <f>I119/8</f>
        <v>0</v>
      </c>
    </row>
    <row r="120" spans="1:10" ht="12.75">
      <c r="A120" s="43" t="s">
        <v>86</v>
      </c>
      <c r="B120" s="37"/>
      <c r="C120" s="37"/>
      <c r="D120" s="37"/>
      <c r="E120" s="37"/>
      <c r="F120" s="37"/>
      <c r="G120" s="34">
        <f>F121</f>
        <v>3200</v>
      </c>
      <c r="H120" s="28"/>
      <c r="I120" s="28">
        <f>SUM(H121:H123)</f>
        <v>0</v>
      </c>
      <c r="J120" s="35">
        <f>I120/8</f>
        <v>0</v>
      </c>
    </row>
    <row r="121" spans="1:10" ht="12.75">
      <c r="A121" s="42" t="s">
        <v>87</v>
      </c>
      <c r="B121" s="37"/>
      <c r="C121" s="37">
        <f>16*40*5</f>
        <v>3200</v>
      </c>
      <c r="D121" s="37"/>
      <c r="E121" s="37"/>
      <c r="F121" s="37">
        <f>B121+C121+D121+E121</f>
        <v>3200</v>
      </c>
      <c r="I121" s="28"/>
      <c r="J121" s="35">
        <f>I121/8</f>
        <v>0</v>
      </c>
    </row>
    <row r="122" spans="1:10" ht="12.75">
      <c r="A122" s="42" t="s">
        <v>88</v>
      </c>
      <c r="B122" s="37"/>
      <c r="C122" s="37"/>
      <c r="D122" s="37"/>
      <c r="E122" s="37"/>
      <c r="F122" s="37">
        <f>B122+C122+D122+E122</f>
        <v>0</v>
      </c>
      <c r="I122" s="28"/>
      <c r="J122" s="35">
        <f>I122/8</f>
        <v>0</v>
      </c>
    </row>
    <row r="123" spans="1:10" ht="12.75">
      <c r="A123" s="42"/>
      <c r="B123" s="37"/>
      <c r="C123" s="37"/>
      <c r="D123" s="37"/>
      <c r="E123" s="37"/>
      <c r="F123" s="37">
        <f>B123+C123+D123+E123</f>
        <v>0</v>
      </c>
      <c r="I123" s="28">
        <f>SUM(H120:H123)</f>
        <v>0</v>
      </c>
      <c r="J123" s="35">
        <f>I123/8</f>
        <v>0</v>
      </c>
    </row>
    <row r="124" spans="1:10" ht="12.75">
      <c r="A124" s="46" t="s">
        <v>64</v>
      </c>
      <c r="B124" s="47">
        <f>SUM(B3:B123)</f>
        <v>245371.60457297185</v>
      </c>
      <c r="C124" s="47">
        <f>SUM(C3:C123)</f>
        <v>8000</v>
      </c>
      <c r="D124" s="47">
        <f>SUM(D3:D123)</f>
        <v>0</v>
      </c>
      <c r="E124" s="47">
        <f>SUM(E3:E123)</f>
        <v>2040</v>
      </c>
      <c r="F124" s="47">
        <f>SUM(F3:F123)</f>
        <v>255411.60457297185</v>
      </c>
      <c r="G124" s="48">
        <f>SUM(G3:G123)</f>
        <v>255411.6045729718</v>
      </c>
      <c r="H124" s="49">
        <f>SUM(H3:H123)</f>
        <v>2066</v>
      </c>
      <c r="I124" s="49">
        <f>SUM(I3:I123)</f>
        <v>2066</v>
      </c>
      <c r="J124" s="50">
        <f>I124/8</f>
        <v>258.25</v>
      </c>
    </row>
    <row r="125" ht="12.75">
      <c r="F125" s="22">
        <f>B124+C124+D124+E124</f>
        <v>255411.60457297185</v>
      </c>
    </row>
    <row r="126" ht="12.75">
      <c r="B126" s="22">
        <f>237246-239378</f>
        <v>-2132</v>
      </c>
    </row>
    <row r="129" ht="12.75">
      <c r="F129" s="22">
        <f>251018-250601</f>
        <v>417</v>
      </c>
    </row>
  </sheetData>
  <sheetProtection selectLockedCells="1" selectUnlockedCells="1"/>
  <mergeCells count="1">
    <mergeCell ref="A1:F1"/>
  </mergeCells>
  <printOptions/>
  <pageMargins left="0.7875" right="0.7875" top="1.0263888888888888" bottom="1.0263888888888888" header="0.7875" footer="0.7875"/>
  <pageSetup fitToHeight="1" fitToWidth="1" horizontalDpi="300" verticalDpi="300" orientation="landscape"/>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264"/>
  <sheetViews>
    <sheetView zoomScale="90" zoomScaleNormal="90" workbookViewId="0" topLeftCell="A1">
      <selection activeCell="H13" sqref="H13"/>
    </sheetView>
  </sheetViews>
  <sheetFormatPr defaultColWidth="12.57421875" defaultRowHeight="12.75"/>
  <cols>
    <col min="1" max="1" width="32.140625" style="0" customWidth="1"/>
    <col min="2" max="2" width="27.421875" style="0" customWidth="1"/>
    <col min="3" max="3" width="13.28125" style="72" customWidth="1"/>
    <col min="4" max="4" width="16.00390625" style="0" customWidth="1"/>
    <col min="5" max="6" width="11.57421875" style="0" customWidth="1"/>
    <col min="7" max="7" width="15.7109375" style="0" customWidth="1"/>
    <col min="8" max="8" width="16.28125" style="0" customWidth="1"/>
    <col min="9" max="9" width="239.28125" style="0" customWidth="1"/>
    <col min="10" max="16384" width="11.57421875" style="0" customWidth="1"/>
  </cols>
  <sheetData>
    <row r="1" spans="1:9" ht="12.75">
      <c r="A1" s="53" t="s">
        <v>606</v>
      </c>
      <c r="B1" s="53" t="s">
        <v>1649</v>
      </c>
      <c r="C1" s="334" t="s">
        <v>1650</v>
      </c>
      <c r="D1" s="334" t="s">
        <v>1651</v>
      </c>
      <c r="E1" s="335" t="s">
        <v>1652</v>
      </c>
      <c r="F1" s="335" t="s">
        <v>1653</v>
      </c>
      <c r="G1" s="335" t="s">
        <v>1654</v>
      </c>
      <c r="H1" s="335" t="s">
        <v>1655</v>
      </c>
      <c r="I1" s="53" t="s">
        <v>1656</v>
      </c>
    </row>
    <row r="2" spans="1:9" ht="12.75">
      <c r="A2" t="s">
        <v>1657</v>
      </c>
      <c r="B2" t="s">
        <v>1658</v>
      </c>
      <c r="C2" s="72">
        <v>1</v>
      </c>
      <c r="D2" s="72" t="s">
        <v>1659</v>
      </c>
      <c r="E2" s="12">
        <v>1.2</v>
      </c>
      <c r="F2">
        <v>0.0868</v>
      </c>
      <c r="G2" s="248">
        <f>E2+(E2*F2)</f>
        <v>1.30416</v>
      </c>
      <c r="H2" s="215">
        <f>G2/C2</f>
        <v>1.30416</v>
      </c>
      <c r="I2" s="336" t="s">
        <v>1660</v>
      </c>
    </row>
    <row r="3" spans="1:9" ht="12.75">
      <c r="A3" t="s">
        <v>1661</v>
      </c>
      <c r="B3" t="s">
        <v>1662</v>
      </c>
      <c r="C3" s="72">
        <v>1</v>
      </c>
      <c r="D3" s="72" t="s">
        <v>1659</v>
      </c>
      <c r="E3" s="12">
        <v>1.65</v>
      </c>
      <c r="F3">
        <v>0.0868</v>
      </c>
      <c r="G3" s="248">
        <f>E3+(E3*F3)</f>
        <v>1.7932199999999998</v>
      </c>
      <c r="H3" s="215">
        <f>G3/C3</f>
        <v>1.7932199999999998</v>
      </c>
      <c r="I3" s="336" t="s">
        <v>1663</v>
      </c>
    </row>
    <row r="4" spans="1:9" ht="12.75">
      <c r="A4" t="s">
        <v>1664</v>
      </c>
      <c r="B4" t="s">
        <v>1665</v>
      </c>
      <c r="C4" s="72">
        <v>1</v>
      </c>
      <c r="D4" s="72" t="s">
        <v>1659</v>
      </c>
      <c r="E4" s="12">
        <v>1.19</v>
      </c>
      <c r="F4">
        <v>0.0868</v>
      </c>
      <c r="G4" s="248">
        <f>E4+(E4*F4)</f>
        <v>1.2932919999999999</v>
      </c>
      <c r="H4" s="215">
        <f>G4/C4</f>
        <v>1.2932919999999999</v>
      </c>
      <c r="I4" s="336" t="s">
        <v>1666</v>
      </c>
    </row>
    <row r="5" spans="1:9" ht="12.75">
      <c r="A5" t="s">
        <v>1667</v>
      </c>
      <c r="B5" t="s">
        <v>1668</v>
      </c>
      <c r="C5" s="72">
        <v>1</v>
      </c>
      <c r="D5" s="72" t="s">
        <v>1659</v>
      </c>
      <c r="E5" s="12">
        <v>0.65</v>
      </c>
      <c r="F5">
        <v>0.0868</v>
      </c>
      <c r="G5" s="248">
        <f>E5+(E5*F5)</f>
        <v>0.70642</v>
      </c>
      <c r="H5" s="215">
        <f>G5/C5</f>
        <v>0.70642</v>
      </c>
      <c r="I5" s="336" t="s">
        <v>1669</v>
      </c>
    </row>
    <row r="6" spans="1:9" ht="12.75">
      <c r="A6" t="s">
        <v>1670</v>
      </c>
      <c r="B6" s="290">
        <v>100</v>
      </c>
      <c r="C6" s="72">
        <v>100</v>
      </c>
      <c r="D6" s="72" t="s">
        <v>1659</v>
      </c>
      <c r="E6" s="12">
        <v>15.77</v>
      </c>
      <c r="F6">
        <v>0.0868</v>
      </c>
      <c r="G6" s="248">
        <f>E6+(E6*F6)</f>
        <v>17.138835999999998</v>
      </c>
      <c r="H6" s="215">
        <f>G6/C6</f>
        <v>0.17138836</v>
      </c>
      <c r="I6" s="336" t="s">
        <v>1671</v>
      </c>
    </row>
    <row r="7" spans="1:9" ht="12.75">
      <c r="A7" t="s">
        <v>1672</v>
      </c>
      <c r="B7" s="290" t="s">
        <v>1673</v>
      </c>
      <c r="C7" s="72">
        <v>10</v>
      </c>
      <c r="D7" s="72" t="s">
        <v>1206</v>
      </c>
      <c r="E7" s="12">
        <v>12.57</v>
      </c>
      <c r="F7">
        <v>0.0868</v>
      </c>
      <c r="G7" s="248">
        <f>E7+(E7*F7)</f>
        <v>13.661076000000001</v>
      </c>
      <c r="H7" s="215">
        <f>G7/C7</f>
        <v>1.3661076</v>
      </c>
      <c r="I7" s="336" t="s">
        <v>1674</v>
      </c>
    </row>
    <row r="8" spans="1:9" ht="12.75">
      <c r="A8" t="s">
        <v>1675</v>
      </c>
      <c r="B8" t="s">
        <v>1676</v>
      </c>
      <c r="C8" s="72">
        <v>1</v>
      </c>
      <c r="D8" s="72" t="s">
        <v>1659</v>
      </c>
      <c r="E8" s="12">
        <v>11.35</v>
      </c>
      <c r="F8">
        <v>0.0868</v>
      </c>
      <c r="G8" s="248">
        <f>E8+(E8*F8)</f>
        <v>12.33518</v>
      </c>
      <c r="H8" s="215">
        <f>G8/C8</f>
        <v>12.33518</v>
      </c>
      <c r="I8" s="336" t="s">
        <v>1677</v>
      </c>
    </row>
    <row r="9" spans="1:9" ht="12.75">
      <c r="A9" t="s">
        <v>1678</v>
      </c>
      <c r="B9" t="s">
        <v>1679</v>
      </c>
      <c r="C9" s="72">
        <v>1</v>
      </c>
      <c r="D9" s="159" t="s">
        <v>1680</v>
      </c>
      <c r="E9" s="12">
        <v>16</v>
      </c>
      <c r="F9">
        <v>0.0868</v>
      </c>
      <c r="G9" s="248">
        <f>E9+(E9*F9)</f>
        <v>17.3888</v>
      </c>
      <c r="H9" s="215">
        <f>G9/C9</f>
        <v>17.3888</v>
      </c>
      <c r="I9" s="336"/>
    </row>
    <row r="10" spans="1:10" ht="12.75">
      <c r="A10" s="45" t="s">
        <v>1681</v>
      </c>
      <c r="B10" s="45" t="s">
        <v>1682</v>
      </c>
      <c r="C10" s="159">
        <v>1</v>
      </c>
      <c r="D10" s="159" t="s">
        <v>1680</v>
      </c>
      <c r="E10" s="337">
        <v>105</v>
      </c>
      <c r="F10">
        <v>0.0868</v>
      </c>
      <c r="G10" s="248">
        <f>E10+(E10*F10)</f>
        <v>114.114</v>
      </c>
      <c r="H10" s="215">
        <f>G10/C10</f>
        <v>114.114</v>
      </c>
      <c r="I10" s="45" t="s">
        <v>1683</v>
      </c>
      <c r="J10" s="45"/>
    </row>
    <row r="11" spans="1:10" ht="12.75">
      <c r="A11" s="45" t="s">
        <v>1684</v>
      </c>
      <c r="B11" s="45" t="s">
        <v>1685</v>
      </c>
      <c r="C11" s="159">
        <v>1</v>
      </c>
      <c r="D11" s="159" t="s">
        <v>1686</v>
      </c>
      <c r="E11" s="337">
        <v>1.19</v>
      </c>
      <c r="F11">
        <v>0.0868</v>
      </c>
      <c r="G11" s="248">
        <f>E11+(E11*F11)</f>
        <v>1.2932919999999999</v>
      </c>
      <c r="H11" s="215">
        <f>G11/C11</f>
        <v>1.2932919999999999</v>
      </c>
      <c r="I11" s="45" t="s">
        <v>1687</v>
      </c>
      <c r="J11" s="45"/>
    </row>
    <row r="12" spans="1:10" ht="12.75">
      <c r="A12" s="45" t="s">
        <v>1688</v>
      </c>
      <c r="B12" s="45" t="s">
        <v>1689</v>
      </c>
      <c r="C12" s="159">
        <v>1</v>
      </c>
      <c r="D12" s="159" t="s">
        <v>1686</v>
      </c>
      <c r="E12" s="337">
        <v>29</v>
      </c>
      <c r="F12">
        <v>0.0868</v>
      </c>
      <c r="G12" s="248">
        <f>E12+(E12*F12)</f>
        <v>31.5172</v>
      </c>
      <c r="H12" s="215">
        <f>G12/C12</f>
        <v>31.5172</v>
      </c>
      <c r="I12" s="45" t="s">
        <v>1690</v>
      </c>
      <c r="J12" s="45"/>
    </row>
    <row r="13" spans="1:9" ht="12.75">
      <c r="A13" t="s">
        <v>1691</v>
      </c>
      <c r="B13" t="s">
        <v>1692</v>
      </c>
      <c r="C13" s="72">
        <v>20</v>
      </c>
      <c r="D13" s="72" t="s">
        <v>1206</v>
      </c>
      <c r="E13" s="12">
        <v>7.62</v>
      </c>
      <c r="F13">
        <v>0.0868</v>
      </c>
      <c r="G13" s="248">
        <f>E13+(E13*F13)</f>
        <v>8.281416</v>
      </c>
      <c r="H13" s="215">
        <f>G13/C13</f>
        <v>0.4140708</v>
      </c>
      <c r="I13" s="297" t="s">
        <v>1693</v>
      </c>
    </row>
    <row r="14" spans="1:9" ht="12.75">
      <c r="A14" t="s">
        <v>1694</v>
      </c>
      <c r="B14" t="s">
        <v>1695</v>
      </c>
      <c r="C14" s="72">
        <v>50</v>
      </c>
      <c r="D14" s="72" t="s">
        <v>1659</v>
      </c>
      <c r="E14" s="12">
        <v>79.98</v>
      </c>
      <c r="F14">
        <v>0.0868</v>
      </c>
      <c r="G14" s="248">
        <f>E14+(E14*F14)</f>
        <v>86.922264</v>
      </c>
      <c r="H14" s="215">
        <f>G14/C14</f>
        <v>1.7384452799999999</v>
      </c>
      <c r="I14" s="297" t="s">
        <v>1696</v>
      </c>
    </row>
    <row r="15" spans="1:9" ht="12.75">
      <c r="A15" t="s">
        <v>1697</v>
      </c>
      <c r="B15" t="s">
        <v>1698</v>
      </c>
      <c r="C15" s="72">
        <v>8</v>
      </c>
      <c r="D15" s="72" t="s">
        <v>1206</v>
      </c>
      <c r="E15" s="12">
        <v>3.81</v>
      </c>
      <c r="F15">
        <v>0.0868</v>
      </c>
      <c r="G15" s="248">
        <f>E15+(E15*F15)</f>
        <v>4.140708</v>
      </c>
      <c r="H15" s="215">
        <f>G15/C15</f>
        <v>0.5175885</v>
      </c>
      <c r="I15" s="297" t="s">
        <v>1699</v>
      </c>
    </row>
    <row r="16" spans="1:9" ht="12.75">
      <c r="A16" t="s">
        <v>1700</v>
      </c>
      <c r="B16" t="s">
        <v>1698</v>
      </c>
      <c r="C16" s="72">
        <v>8</v>
      </c>
      <c r="D16" s="72" t="s">
        <v>1206</v>
      </c>
      <c r="E16" s="12">
        <v>3.81</v>
      </c>
      <c r="F16">
        <v>0.0868</v>
      </c>
      <c r="G16" s="248">
        <f>E16+(E16*F16)</f>
        <v>4.140708</v>
      </c>
      <c r="H16" s="215">
        <f>G16</f>
        <v>4.140708</v>
      </c>
      <c r="I16" s="297" t="s">
        <v>1699</v>
      </c>
    </row>
    <row r="17" spans="1:9" ht="12.75">
      <c r="A17" t="s">
        <v>1701</v>
      </c>
      <c r="B17" t="s">
        <v>1702</v>
      </c>
      <c r="C17" s="72">
        <v>12</v>
      </c>
      <c r="D17" s="72" t="s">
        <v>1206</v>
      </c>
      <c r="E17" s="12">
        <v>4.21</v>
      </c>
      <c r="F17">
        <v>0.0868</v>
      </c>
      <c r="G17" s="248">
        <f>E17+(E17*F17)</f>
        <v>4.575428</v>
      </c>
      <c r="H17" s="215">
        <f>G17/C17</f>
        <v>0.38128566666666663</v>
      </c>
      <c r="I17" t="s">
        <v>1703</v>
      </c>
    </row>
    <row r="18" spans="1:9" ht="12.75">
      <c r="A18" t="s">
        <v>1704</v>
      </c>
      <c r="B18" t="s">
        <v>1705</v>
      </c>
      <c r="C18" s="72">
        <v>20</v>
      </c>
      <c r="D18" s="72" t="s">
        <v>1206</v>
      </c>
      <c r="E18" s="337">
        <v>8.43</v>
      </c>
      <c r="F18">
        <v>0.0868</v>
      </c>
      <c r="G18" s="248">
        <f>E18+(E18*F18)</f>
        <v>9.161724</v>
      </c>
      <c r="H18" s="215">
        <f>G18/C18</f>
        <v>0.4580862</v>
      </c>
      <c r="I18" t="s">
        <v>1706</v>
      </c>
    </row>
    <row r="19" spans="1:9" ht="12.75">
      <c r="A19" t="s">
        <v>1707</v>
      </c>
      <c r="B19" t="s">
        <v>1705</v>
      </c>
      <c r="C19" s="72">
        <v>20</v>
      </c>
      <c r="D19" s="72" t="s">
        <v>1206</v>
      </c>
      <c r="E19" s="337">
        <v>14.37</v>
      </c>
      <c r="F19">
        <v>0.0868</v>
      </c>
      <c r="G19" s="248">
        <f>E19+(E19*F19)</f>
        <v>15.617315999999999</v>
      </c>
      <c r="H19" s="215">
        <f>G19/C19</f>
        <v>0.7808657999999999</v>
      </c>
      <c r="I19" t="s">
        <v>1708</v>
      </c>
    </row>
    <row r="20" spans="1:9" ht="12.75">
      <c r="A20" t="s">
        <v>1709</v>
      </c>
      <c r="B20" t="s">
        <v>1710</v>
      </c>
      <c r="C20" s="72">
        <v>8</v>
      </c>
      <c r="D20" s="72" t="s">
        <v>1206</v>
      </c>
      <c r="E20" s="12">
        <v>4.86</v>
      </c>
      <c r="F20">
        <v>0.0868</v>
      </c>
      <c r="G20" s="248">
        <f>E20+(E20*F20)</f>
        <v>5.281848</v>
      </c>
      <c r="H20" s="215">
        <f>G20/C20</f>
        <v>0.660231</v>
      </c>
      <c r="I20" t="s">
        <v>1711</v>
      </c>
    </row>
    <row r="21" spans="1:9" ht="12.75">
      <c r="A21" t="s">
        <v>1712</v>
      </c>
      <c r="B21" t="s">
        <v>1713</v>
      </c>
      <c r="C21" s="72">
        <v>10</v>
      </c>
      <c r="D21" s="72" t="s">
        <v>1206</v>
      </c>
      <c r="E21" s="12">
        <v>7.83</v>
      </c>
      <c r="F21">
        <v>0.0868</v>
      </c>
      <c r="G21" s="248">
        <f>E21+(E21*F21)</f>
        <v>8.509644</v>
      </c>
      <c r="H21" s="215">
        <f>G21/C21</f>
        <v>0.8509644</v>
      </c>
      <c r="I21" s="297" t="s">
        <v>1714</v>
      </c>
    </row>
    <row r="22" spans="1:9" ht="12.75">
      <c r="A22" s="45" t="s">
        <v>1715</v>
      </c>
      <c r="B22" t="s">
        <v>1716</v>
      </c>
      <c r="C22" s="72">
        <v>20</v>
      </c>
      <c r="D22" s="72" t="s">
        <v>1206</v>
      </c>
      <c r="E22" s="12">
        <v>12.13</v>
      </c>
      <c r="F22">
        <v>0.0868</v>
      </c>
      <c r="G22" s="248">
        <f>E22+(E22*F22)</f>
        <v>13.182884000000001</v>
      </c>
      <c r="H22" s="215">
        <f>G22/C22</f>
        <v>0.6591442000000001</v>
      </c>
      <c r="I22" t="s">
        <v>1717</v>
      </c>
    </row>
    <row r="23" spans="1:9" ht="12.75">
      <c r="A23" t="s">
        <v>1718</v>
      </c>
      <c r="B23" t="s">
        <v>1716</v>
      </c>
      <c r="C23" s="72">
        <v>20</v>
      </c>
      <c r="D23" s="72" t="s">
        <v>1206</v>
      </c>
      <c r="E23" s="12">
        <v>21.27</v>
      </c>
      <c r="F23">
        <v>0.0868</v>
      </c>
      <c r="G23" s="248">
        <f>E23+(E23*F23)</f>
        <v>23.116236</v>
      </c>
      <c r="H23" s="215">
        <f>G23/C23</f>
        <v>1.1558118</v>
      </c>
      <c r="I23" t="s">
        <v>1719</v>
      </c>
    </row>
    <row r="24" spans="1:9" ht="12.75">
      <c r="A24" t="s">
        <v>1720</v>
      </c>
      <c r="B24" t="s">
        <v>1721</v>
      </c>
      <c r="C24" s="72">
        <v>8</v>
      </c>
      <c r="D24" s="72" t="s">
        <v>1206</v>
      </c>
      <c r="E24" s="12">
        <v>9.51</v>
      </c>
      <c r="F24">
        <v>0.0868</v>
      </c>
      <c r="G24" s="248">
        <f>E24+(E24*F24)</f>
        <v>10.335468</v>
      </c>
      <c r="H24" s="215">
        <f>G24/C24</f>
        <v>1.2919335</v>
      </c>
      <c r="I24" t="s">
        <v>1722</v>
      </c>
    </row>
    <row r="25" spans="1:9" ht="12.75">
      <c r="A25" t="s">
        <v>1723</v>
      </c>
      <c r="B25" t="s">
        <v>1724</v>
      </c>
      <c r="C25" s="72">
        <v>20</v>
      </c>
      <c r="D25" s="72" t="s">
        <v>1206</v>
      </c>
      <c r="E25" s="12">
        <v>20.49</v>
      </c>
      <c r="F25">
        <v>0.0868</v>
      </c>
      <c r="G25" s="248">
        <f>E25+(E25*F25)</f>
        <v>22.268531999999997</v>
      </c>
      <c r="H25" s="215">
        <f>G25/C25</f>
        <v>1.1134266</v>
      </c>
      <c r="I25" t="s">
        <v>1725</v>
      </c>
    </row>
    <row r="26" spans="1:8" ht="12.75">
      <c r="A26" t="s">
        <v>1726</v>
      </c>
      <c r="D26" s="72"/>
      <c r="E26" s="12"/>
      <c r="G26" s="248"/>
      <c r="H26" s="215"/>
    </row>
    <row r="27" spans="1:9" ht="12.75">
      <c r="A27" t="s">
        <v>1726</v>
      </c>
      <c r="B27" t="s">
        <v>1727</v>
      </c>
      <c r="C27" s="72">
        <v>12</v>
      </c>
      <c r="D27" s="72" t="s">
        <v>1206</v>
      </c>
      <c r="E27" s="12">
        <v>13.97</v>
      </c>
      <c r="F27">
        <v>0.0868</v>
      </c>
      <c r="G27" s="248">
        <f>E27+(E27*F27)</f>
        <v>15.182596</v>
      </c>
      <c r="H27" s="215">
        <f>G27/C27</f>
        <v>1.2652163333333333</v>
      </c>
      <c r="I27" t="s">
        <v>1728</v>
      </c>
    </row>
    <row r="28" spans="1:9" ht="12.75">
      <c r="A28" s="338" t="s">
        <v>1726</v>
      </c>
      <c r="B28" s="338" t="s">
        <v>1729</v>
      </c>
      <c r="C28" s="339">
        <v>14</v>
      </c>
      <c r="D28" s="340" t="s">
        <v>1206</v>
      </c>
      <c r="E28" s="341">
        <v>16.5</v>
      </c>
      <c r="F28" s="338">
        <v>0.0868</v>
      </c>
      <c r="G28" s="342">
        <f>E28+(E28*F28)</f>
        <v>17.9322</v>
      </c>
      <c r="H28" s="343">
        <f>G28/C28</f>
        <v>1.2808714285714287</v>
      </c>
      <c r="I28" s="338" t="s">
        <v>1730</v>
      </c>
    </row>
    <row r="29" spans="1:9" ht="12.75">
      <c r="A29" t="s">
        <v>1731</v>
      </c>
      <c r="B29" t="s">
        <v>1732</v>
      </c>
      <c r="C29" s="72">
        <v>16</v>
      </c>
      <c r="D29" s="72" t="s">
        <v>1206</v>
      </c>
      <c r="E29" s="12">
        <v>18.66</v>
      </c>
      <c r="F29">
        <v>0.0868</v>
      </c>
      <c r="G29" s="248">
        <f>E29+(E29*F29)</f>
        <v>20.279688</v>
      </c>
      <c r="H29" s="215">
        <f>G29/C29</f>
        <v>1.2674805</v>
      </c>
      <c r="I29" t="s">
        <v>1733</v>
      </c>
    </row>
    <row r="30" spans="1:9" ht="12.75">
      <c r="A30" t="s">
        <v>1731</v>
      </c>
      <c r="B30" t="s">
        <v>1732</v>
      </c>
      <c r="C30" s="72">
        <v>16</v>
      </c>
      <c r="D30" s="72" t="s">
        <v>1206</v>
      </c>
      <c r="E30" s="12">
        <v>20.74</v>
      </c>
      <c r="F30">
        <v>0.0868</v>
      </c>
      <c r="G30" s="248">
        <f>E30+(E30*F30)</f>
        <v>22.540232</v>
      </c>
      <c r="H30" s="215">
        <f>G30/C30</f>
        <v>1.4087645</v>
      </c>
      <c r="I30" t="s">
        <v>1734</v>
      </c>
    </row>
    <row r="31" spans="1:9" ht="12.75">
      <c r="A31" t="s">
        <v>1735</v>
      </c>
      <c r="B31" t="s">
        <v>1736</v>
      </c>
      <c r="C31" s="72">
        <v>20</v>
      </c>
      <c r="D31" s="72" t="s">
        <v>1206</v>
      </c>
      <c r="E31" s="12">
        <v>23.34</v>
      </c>
      <c r="F31">
        <v>0.0868</v>
      </c>
      <c r="G31" s="248">
        <f>E31+(E31*F31)</f>
        <v>25.365912</v>
      </c>
      <c r="H31" s="215">
        <f>G31/C31</f>
        <v>1.2682956</v>
      </c>
      <c r="I31" t="s">
        <v>1737</v>
      </c>
    </row>
    <row r="32" spans="1:9" ht="12.75">
      <c r="A32" t="s">
        <v>1738</v>
      </c>
      <c r="B32" t="s">
        <v>1732</v>
      </c>
      <c r="C32" s="72">
        <v>16</v>
      </c>
      <c r="D32" s="72" t="s">
        <v>1206</v>
      </c>
      <c r="E32" s="12">
        <v>21.6</v>
      </c>
      <c r="F32">
        <v>0.0868</v>
      </c>
      <c r="G32" s="248">
        <f>E32+(E32*F32)</f>
        <v>23.474880000000002</v>
      </c>
      <c r="H32" s="215">
        <f>G32/C32</f>
        <v>1.4671800000000002</v>
      </c>
      <c r="I32" t="s">
        <v>1739</v>
      </c>
    </row>
    <row r="33" spans="1:9" ht="12.75">
      <c r="A33" t="s">
        <v>1740</v>
      </c>
      <c r="B33" t="s">
        <v>1736</v>
      </c>
      <c r="C33" s="72">
        <v>20</v>
      </c>
      <c r="D33" s="72" t="s">
        <v>1206</v>
      </c>
      <c r="E33" s="12">
        <v>21.6</v>
      </c>
      <c r="F33">
        <v>0.0868</v>
      </c>
      <c r="G33" s="248">
        <f>E33+(E33*F33)</f>
        <v>23.474880000000002</v>
      </c>
      <c r="H33" s="215">
        <f>G33/C33</f>
        <v>1.1737440000000001</v>
      </c>
      <c r="I33" t="s">
        <v>1734</v>
      </c>
    </row>
    <row r="34" spans="1:9" ht="12.75">
      <c r="A34" t="s">
        <v>1741</v>
      </c>
      <c r="B34" t="s">
        <v>1742</v>
      </c>
      <c r="C34" s="72">
        <v>1</v>
      </c>
      <c r="D34" s="72" t="s">
        <v>1206</v>
      </c>
      <c r="E34" s="12">
        <v>3.23</v>
      </c>
      <c r="F34">
        <v>0.0868</v>
      </c>
      <c r="G34" s="248">
        <f>E34+(E34*F34)</f>
        <v>3.510364</v>
      </c>
      <c r="H34" s="215">
        <f>G34/C34</f>
        <v>3.510364</v>
      </c>
      <c r="I34" s="297" t="s">
        <v>1743</v>
      </c>
    </row>
    <row r="35" spans="1:9" ht="12.75">
      <c r="A35" t="s">
        <v>1741</v>
      </c>
      <c r="B35" t="s">
        <v>1744</v>
      </c>
      <c r="C35" s="72">
        <v>1</v>
      </c>
      <c r="D35" s="72" t="s">
        <v>1206</v>
      </c>
      <c r="E35" s="12">
        <v>4.84</v>
      </c>
      <c r="F35">
        <v>0.0868</v>
      </c>
      <c r="G35" s="248">
        <f>E35+(E35*F35)</f>
        <v>5.2601119999999995</v>
      </c>
      <c r="H35" s="215">
        <f>G35/C35</f>
        <v>5.2601119999999995</v>
      </c>
      <c r="I35" s="297" t="s">
        <v>1743</v>
      </c>
    </row>
    <row r="36" spans="1:9" ht="12.75">
      <c r="A36" t="s">
        <v>1741</v>
      </c>
      <c r="B36" t="s">
        <v>1745</v>
      </c>
      <c r="C36" s="72">
        <v>1</v>
      </c>
      <c r="D36" s="72" t="s">
        <v>1206</v>
      </c>
      <c r="E36" s="12">
        <v>1.4</v>
      </c>
      <c r="F36">
        <v>0.0868</v>
      </c>
      <c r="G36" s="248">
        <f>E36+(E36*F36)</f>
        <v>1.52152</v>
      </c>
      <c r="H36" s="215">
        <f>G36/C36</f>
        <v>1.52152</v>
      </c>
      <c r="I36" s="297" t="s">
        <v>1743</v>
      </c>
    </row>
    <row r="37" spans="1:9" ht="12.75">
      <c r="A37" t="s">
        <v>1741</v>
      </c>
      <c r="B37" t="s">
        <v>1746</v>
      </c>
      <c r="C37" s="72">
        <v>20</v>
      </c>
      <c r="D37" s="72" t="s">
        <v>1206</v>
      </c>
      <c r="E37" s="12">
        <v>67</v>
      </c>
      <c r="F37">
        <v>0.0868</v>
      </c>
      <c r="G37" s="248">
        <f>E37+(E37*F37)</f>
        <v>72.8156</v>
      </c>
      <c r="H37" s="215">
        <f>G37/C37</f>
        <v>3.6407800000000003</v>
      </c>
      <c r="I37" s="297" t="s">
        <v>1747</v>
      </c>
    </row>
    <row r="38" spans="1:9" ht="12.75">
      <c r="A38" t="s">
        <v>1741</v>
      </c>
      <c r="B38" t="s">
        <v>1748</v>
      </c>
      <c r="C38" s="72">
        <v>20</v>
      </c>
      <c r="D38" s="72" t="s">
        <v>1206</v>
      </c>
      <c r="E38" s="12">
        <v>103.4</v>
      </c>
      <c r="F38">
        <v>0.0868</v>
      </c>
      <c r="G38" s="248">
        <f>E38+(E38*F38)</f>
        <v>112.37512000000001</v>
      </c>
      <c r="H38" s="215">
        <f>G38/C38</f>
        <v>5.618756</v>
      </c>
      <c r="I38" s="297" t="s">
        <v>1747</v>
      </c>
    </row>
    <row r="39" spans="1:9" ht="12.75">
      <c r="A39" t="s">
        <v>1741</v>
      </c>
      <c r="B39" t="s">
        <v>1749</v>
      </c>
      <c r="C39" s="72">
        <v>20</v>
      </c>
      <c r="D39" s="72" t="s">
        <v>1206</v>
      </c>
      <c r="E39" s="12">
        <v>136</v>
      </c>
      <c r="F39">
        <v>0.0868</v>
      </c>
      <c r="G39" s="248">
        <f>E39+(E39*F39)</f>
        <v>147.8048</v>
      </c>
      <c r="H39" s="215">
        <f>G39/C39</f>
        <v>7.39024</v>
      </c>
      <c r="I39" s="297" t="s">
        <v>1747</v>
      </c>
    </row>
    <row r="40" spans="1:9" ht="12.75">
      <c r="A40" t="s">
        <v>1750</v>
      </c>
      <c r="B40" t="s">
        <v>1751</v>
      </c>
      <c r="C40" s="72">
        <v>16</v>
      </c>
      <c r="D40" s="72" t="s">
        <v>1206</v>
      </c>
      <c r="E40" s="12">
        <v>29.98</v>
      </c>
      <c r="F40">
        <v>0.0868</v>
      </c>
      <c r="G40" s="248">
        <f>E40+(E40*F40)</f>
        <v>32.582264</v>
      </c>
      <c r="H40" s="215">
        <f>G40/C40</f>
        <v>2.0363915</v>
      </c>
      <c r="I40" s="297" t="s">
        <v>1752</v>
      </c>
    </row>
    <row r="41" spans="4:9" ht="12.75">
      <c r="D41" s="72"/>
      <c r="E41" s="12"/>
      <c r="G41" s="248"/>
      <c r="H41" s="215"/>
      <c r="I41" s="297"/>
    </row>
    <row r="42" spans="1:9" ht="12.75">
      <c r="A42" t="s">
        <v>1753</v>
      </c>
      <c r="B42" t="s">
        <v>1754</v>
      </c>
      <c r="C42" s="72">
        <f>0.5*12</f>
        <v>6</v>
      </c>
      <c r="D42" s="72" t="s">
        <v>588</v>
      </c>
      <c r="E42" s="12">
        <v>15.88</v>
      </c>
      <c r="F42">
        <v>0.0868</v>
      </c>
      <c r="G42" s="248">
        <f>E42+(E42*F42)</f>
        <v>17.258384</v>
      </c>
      <c r="H42" s="215">
        <f>G42/C42</f>
        <v>2.8763973333333333</v>
      </c>
      <c r="I42" s="297" t="s">
        <v>1755</v>
      </c>
    </row>
    <row r="43" spans="1:9" ht="12.75">
      <c r="A43" t="s">
        <v>1756</v>
      </c>
      <c r="B43" t="s">
        <v>1757</v>
      </c>
      <c r="C43" s="72">
        <v>14</v>
      </c>
      <c r="D43" s="72" t="s">
        <v>588</v>
      </c>
      <c r="E43" s="12">
        <v>19.75</v>
      </c>
      <c r="F43">
        <v>0.0868</v>
      </c>
      <c r="G43" s="248">
        <f>E43+(E43*F43)</f>
        <v>21.4643</v>
      </c>
      <c r="H43" s="215">
        <f>G43/C43</f>
        <v>1.5331642857142858</v>
      </c>
      <c r="I43" s="297" t="s">
        <v>1758</v>
      </c>
    </row>
    <row r="44" spans="1:9" ht="12.75">
      <c r="A44" t="s">
        <v>1759</v>
      </c>
      <c r="B44" t="s">
        <v>1760</v>
      </c>
      <c r="C44" s="72">
        <f>3.75*48/12/12</f>
        <v>1.25</v>
      </c>
      <c r="D44" s="72" t="s">
        <v>588</v>
      </c>
      <c r="E44" s="12">
        <v>27.47</v>
      </c>
      <c r="F44">
        <v>0.0868</v>
      </c>
      <c r="G44" s="248">
        <f>E44+(E44*F44)</f>
        <v>29.854395999999998</v>
      </c>
      <c r="H44" s="215">
        <f>G44/C44</f>
        <v>23.8835168</v>
      </c>
      <c r="I44" s="297" t="s">
        <v>1761</v>
      </c>
    </row>
    <row r="45" spans="4:9" ht="12.75">
      <c r="D45" s="72"/>
      <c r="E45" s="12"/>
      <c r="G45" s="248"/>
      <c r="H45" s="215"/>
      <c r="I45" s="297"/>
    </row>
    <row r="46" spans="4:9" ht="12.75">
      <c r="D46" s="72"/>
      <c r="E46" s="12"/>
      <c r="G46" s="248"/>
      <c r="H46" s="215"/>
      <c r="I46" s="297"/>
    </row>
    <row r="47" spans="1:9" ht="12.75">
      <c r="A47" t="s">
        <v>1762</v>
      </c>
      <c r="B47" s="45" t="s">
        <v>1763</v>
      </c>
      <c r="C47" s="159">
        <f>4*8</f>
        <v>32</v>
      </c>
      <c r="D47" s="72" t="s">
        <v>588</v>
      </c>
      <c r="E47" s="337">
        <v>32.38</v>
      </c>
      <c r="F47">
        <v>0.0868</v>
      </c>
      <c r="G47" s="248">
        <f>E47+(E47*F47)</f>
        <v>35.190584</v>
      </c>
      <c r="H47" s="215">
        <f>G47/C47</f>
        <v>1.09970575</v>
      </c>
      <c r="I47" t="s">
        <v>1764</v>
      </c>
    </row>
    <row r="48" spans="1:9" ht="12.75">
      <c r="A48" t="s">
        <v>1765</v>
      </c>
      <c r="B48" s="45" t="s">
        <v>1766</v>
      </c>
      <c r="C48" s="159">
        <f>4*8</f>
        <v>32</v>
      </c>
      <c r="D48" s="72" t="s">
        <v>588</v>
      </c>
      <c r="E48" s="337">
        <v>22.73</v>
      </c>
      <c r="F48">
        <v>0.0868</v>
      </c>
      <c r="G48" s="248">
        <f>E48+(E48*F48)</f>
        <v>24.702964</v>
      </c>
      <c r="H48" s="215">
        <f>G48/C48</f>
        <v>0.771967625</v>
      </c>
      <c r="I48" s="297" t="s">
        <v>1767</v>
      </c>
    </row>
    <row r="49" spans="1:9" ht="12.75">
      <c r="A49" t="s">
        <v>1768</v>
      </c>
      <c r="B49" t="s">
        <v>1769</v>
      </c>
      <c r="C49" s="159">
        <f>4*8</f>
        <v>32</v>
      </c>
      <c r="D49" s="72" t="s">
        <v>588</v>
      </c>
      <c r="E49" s="37">
        <v>25.35</v>
      </c>
      <c r="F49">
        <v>0.0868</v>
      </c>
      <c r="G49" s="248">
        <f>E49+(E49*F49)</f>
        <v>27.55038</v>
      </c>
      <c r="H49" s="215">
        <f>G49/C49</f>
        <v>0.860949375</v>
      </c>
      <c r="I49" s="297" t="s">
        <v>1770</v>
      </c>
    </row>
    <row r="50" spans="1:9" ht="12.75">
      <c r="A50" t="s">
        <v>1771</v>
      </c>
      <c r="B50" t="s">
        <v>1772</v>
      </c>
      <c r="C50" s="159">
        <v>32</v>
      </c>
      <c r="D50" s="72" t="s">
        <v>588</v>
      </c>
      <c r="E50" s="37">
        <v>29.23</v>
      </c>
      <c r="F50">
        <v>0.0868</v>
      </c>
      <c r="G50" s="248">
        <f>E50+(E50*F50)</f>
        <v>31.767164</v>
      </c>
      <c r="H50" s="215">
        <f>G50/C50</f>
        <v>0.992723875</v>
      </c>
      <c r="I50" s="297" t="s">
        <v>1773</v>
      </c>
    </row>
    <row r="51" spans="3:9" ht="12.75">
      <c r="C51" s="159"/>
      <c r="D51" s="72"/>
      <c r="E51" s="37"/>
      <c r="G51" s="248"/>
      <c r="H51" s="215"/>
      <c r="I51" s="297"/>
    </row>
    <row r="52" spans="1:9" ht="12.75">
      <c r="A52" t="s">
        <v>1774</v>
      </c>
      <c r="B52" t="s">
        <v>1775</v>
      </c>
      <c r="C52" s="159">
        <f>4*8</f>
        <v>32</v>
      </c>
      <c r="D52" s="72" t="s">
        <v>588</v>
      </c>
      <c r="E52" s="37">
        <v>17.15</v>
      </c>
      <c r="F52">
        <v>0.0868</v>
      </c>
      <c r="G52" s="248">
        <f>E52+(E52*F52)</f>
        <v>18.63862</v>
      </c>
      <c r="H52" s="215">
        <f>G52/C52</f>
        <v>0.582456875</v>
      </c>
      <c r="I52" s="297" t="s">
        <v>1776</v>
      </c>
    </row>
    <row r="53" spans="1:9" ht="12.75">
      <c r="A53" t="s">
        <v>1777</v>
      </c>
      <c r="B53" t="s">
        <v>1778</v>
      </c>
      <c r="C53" s="72">
        <v>50</v>
      </c>
      <c r="D53" s="72" t="s">
        <v>1659</v>
      </c>
      <c r="E53" s="12">
        <v>7.87</v>
      </c>
      <c r="F53">
        <v>0.0868</v>
      </c>
      <c r="G53" s="248">
        <f>E53+(E53*F53)</f>
        <v>8.553116</v>
      </c>
      <c r="H53" s="215">
        <f>G53/C53</f>
        <v>0.17106232</v>
      </c>
      <c r="I53" t="s">
        <v>1779</v>
      </c>
    </row>
    <row r="54" spans="4:8" ht="12.75">
      <c r="D54" s="72"/>
      <c r="E54" s="12"/>
      <c r="G54" s="248"/>
      <c r="H54" s="215"/>
    </row>
    <row r="55" spans="1:9" ht="12.75">
      <c r="A55" t="s">
        <v>1780</v>
      </c>
      <c r="B55" t="s">
        <v>1781</v>
      </c>
      <c r="C55" s="72">
        <v>1</v>
      </c>
      <c r="D55" s="72" t="s">
        <v>1206</v>
      </c>
      <c r="E55" s="12">
        <v>2.25</v>
      </c>
      <c r="F55">
        <v>0.0868</v>
      </c>
      <c r="G55" s="248">
        <f>E55+(E55*F55)</f>
        <v>2.4453</v>
      </c>
      <c r="H55" s="215">
        <f>G55/C55</f>
        <v>2.4453</v>
      </c>
      <c r="I55" t="s">
        <v>1782</v>
      </c>
    </row>
    <row r="56" spans="1:9" ht="12.75">
      <c r="A56" t="s">
        <v>1780</v>
      </c>
      <c r="B56" t="s">
        <v>1783</v>
      </c>
      <c r="C56" s="72">
        <v>1</v>
      </c>
      <c r="D56" s="72" t="s">
        <v>1206</v>
      </c>
      <c r="E56" s="12">
        <v>2.4</v>
      </c>
      <c r="F56">
        <v>0.0868</v>
      </c>
      <c r="G56" s="248">
        <f>E56+(E56*F56)</f>
        <v>2.60832</v>
      </c>
      <c r="H56" s="215">
        <f>G56/C56</f>
        <v>2.60832</v>
      </c>
      <c r="I56" t="s">
        <v>1782</v>
      </c>
    </row>
    <row r="57" spans="1:9" ht="12.75">
      <c r="A57" t="s">
        <v>1780</v>
      </c>
      <c r="B57" t="s">
        <v>1783</v>
      </c>
      <c r="C57" s="72">
        <v>1</v>
      </c>
      <c r="D57" s="72" t="s">
        <v>1206</v>
      </c>
      <c r="E57" s="12">
        <v>2.45</v>
      </c>
      <c r="F57">
        <v>0.0868</v>
      </c>
      <c r="G57" s="248">
        <f>E57+(E57*F57)</f>
        <v>2.6626600000000002</v>
      </c>
      <c r="H57" s="215">
        <f>G57/C57</f>
        <v>2.6626600000000002</v>
      </c>
      <c r="I57" t="s">
        <v>1734</v>
      </c>
    </row>
    <row r="58" spans="1:9" ht="12.75">
      <c r="A58" t="s">
        <v>1780</v>
      </c>
      <c r="B58" t="s">
        <v>1784</v>
      </c>
      <c r="C58" s="72">
        <v>1</v>
      </c>
      <c r="D58" s="72" t="s">
        <v>1206</v>
      </c>
      <c r="E58" s="12">
        <v>3.4</v>
      </c>
      <c r="F58">
        <v>0.0868</v>
      </c>
      <c r="G58" s="248">
        <f>E58+(E58*F58)</f>
        <v>3.6951199999999997</v>
      </c>
      <c r="H58" s="215">
        <f>G58/C58</f>
        <v>3.6951199999999997</v>
      </c>
      <c r="I58" t="s">
        <v>1782</v>
      </c>
    </row>
    <row r="59" spans="1:9" ht="12.75">
      <c r="A59" t="s">
        <v>1785</v>
      </c>
      <c r="B59" t="s">
        <v>1786</v>
      </c>
      <c r="C59" s="72">
        <v>1</v>
      </c>
      <c r="D59" s="72" t="s">
        <v>1206</v>
      </c>
      <c r="E59" s="12">
        <v>2.07</v>
      </c>
      <c r="F59">
        <v>0.0868</v>
      </c>
      <c r="G59" s="248">
        <f>E59+(E59*F59)</f>
        <v>2.249676</v>
      </c>
      <c r="H59" s="215">
        <f>G59/C59</f>
        <v>2.249676</v>
      </c>
      <c r="I59" t="s">
        <v>1787</v>
      </c>
    </row>
    <row r="60" spans="1:9" ht="12.75">
      <c r="A60" s="344" t="s">
        <v>1785</v>
      </c>
      <c r="B60" s="344" t="s">
        <v>1786</v>
      </c>
      <c r="C60" s="295">
        <v>1</v>
      </c>
      <c r="D60" s="295" t="s">
        <v>1206</v>
      </c>
      <c r="E60" s="345">
        <v>2.6</v>
      </c>
      <c r="F60" s="344">
        <v>0.0868</v>
      </c>
      <c r="G60" s="346">
        <f>E60+(E60*F60)</f>
        <v>2.82568</v>
      </c>
      <c r="H60" s="347">
        <f>G60/C60</f>
        <v>2.82568</v>
      </c>
      <c r="I60" s="344" t="s">
        <v>1788</v>
      </c>
    </row>
    <row r="61" spans="1:9" ht="12.75">
      <c r="A61" t="s">
        <v>1789</v>
      </c>
      <c r="B61" t="s">
        <v>1790</v>
      </c>
      <c r="C61" s="72">
        <v>1</v>
      </c>
      <c r="D61" s="72" t="s">
        <v>1206</v>
      </c>
      <c r="E61" s="12">
        <v>4.95</v>
      </c>
      <c r="F61">
        <v>0.0868</v>
      </c>
      <c r="G61" s="248">
        <f>E61+(E61*F61)</f>
        <v>5.37966</v>
      </c>
      <c r="H61" s="215">
        <f>G61/C61</f>
        <v>5.37966</v>
      </c>
      <c r="I61" s="297" t="s">
        <v>1791</v>
      </c>
    </row>
    <row r="62" spans="1:9" ht="12.75">
      <c r="A62" t="s">
        <v>1789</v>
      </c>
      <c r="B62" t="s">
        <v>1790</v>
      </c>
      <c r="C62" s="72">
        <v>12</v>
      </c>
      <c r="D62" s="72" t="s">
        <v>1206</v>
      </c>
      <c r="E62" s="12">
        <v>24</v>
      </c>
      <c r="F62">
        <v>0.0868</v>
      </c>
      <c r="G62" s="248">
        <f>E62+(E62*F62)</f>
        <v>26.0832</v>
      </c>
      <c r="H62" s="215">
        <f>G62/C62</f>
        <v>2.1736</v>
      </c>
      <c r="I62" t="s">
        <v>1792</v>
      </c>
    </row>
    <row r="63" spans="4:8" ht="12.75">
      <c r="D63" s="72"/>
      <c r="E63" s="12"/>
      <c r="G63" s="248"/>
      <c r="H63" s="215"/>
    </row>
    <row r="64" spans="4:8" ht="12.75">
      <c r="D64" s="72"/>
      <c r="E64" s="12"/>
      <c r="G64" s="248"/>
      <c r="H64" s="215"/>
    </row>
    <row r="65" spans="1:9" ht="12.75">
      <c r="A65" t="s">
        <v>1793</v>
      </c>
      <c r="B65" t="s">
        <v>1794</v>
      </c>
      <c r="C65" s="72">
        <v>1</v>
      </c>
      <c r="D65" s="72" t="s">
        <v>1206</v>
      </c>
      <c r="E65" s="12">
        <v>4.45</v>
      </c>
      <c r="F65">
        <v>0.0868</v>
      </c>
      <c r="G65" s="248">
        <f>E65+(E65*F65)</f>
        <v>4.83626</v>
      </c>
      <c r="H65" s="215">
        <f>G65/C65</f>
        <v>4.83626</v>
      </c>
      <c r="I65" t="s">
        <v>1795</v>
      </c>
    </row>
    <row r="66" spans="1:9" ht="12.75">
      <c r="A66" t="s">
        <v>1793</v>
      </c>
      <c r="B66" t="s">
        <v>1796</v>
      </c>
      <c r="C66" s="72">
        <v>1</v>
      </c>
      <c r="D66" s="72" t="s">
        <v>1206</v>
      </c>
      <c r="E66" s="12">
        <v>5.91</v>
      </c>
      <c r="F66">
        <v>0.0868</v>
      </c>
      <c r="G66" s="248">
        <f>E66+(E66*F66)</f>
        <v>6.422988</v>
      </c>
      <c r="H66" s="215">
        <f>G66/C66</f>
        <v>6.422988</v>
      </c>
      <c r="I66" t="s">
        <v>1797</v>
      </c>
    </row>
    <row r="67" spans="1:9" ht="12.75">
      <c r="A67" t="s">
        <v>1793</v>
      </c>
      <c r="B67" t="s">
        <v>1798</v>
      </c>
      <c r="C67" s="72">
        <v>1</v>
      </c>
      <c r="D67" s="72" t="s">
        <v>1206</v>
      </c>
      <c r="E67" s="12">
        <v>7.58</v>
      </c>
      <c r="F67">
        <v>0.0868</v>
      </c>
      <c r="G67" s="248">
        <f>E67+(E67*F67)</f>
        <v>8.237944</v>
      </c>
      <c r="H67" s="215">
        <f>G67/C67</f>
        <v>8.237944</v>
      </c>
      <c r="I67" t="s">
        <v>1799</v>
      </c>
    </row>
    <row r="68" spans="1:9" ht="12.75">
      <c r="A68" t="s">
        <v>1793</v>
      </c>
      <c r="B68" t="s">
        <v>1800</v>
      </c>
      <c r="C68" s="72">
        <v>1</v>
      </c>
      <c r="D68" s="72" t="s">
        <v>1206</v>
      </c>
      <c r="E68" s="12">
        <v>9.5</v>
      </c>
      <c r="F68">
        <v>0.0868</v>
      </c>
      <c r="G68" s="248">
        <f>E68+(E68*F68)</f>
        <v>10.3246</v>
      </c>
      <c r="H68" s="215">
        <f>G68/C68</f>
        <v>10.3246</v>
      </c>
      <c r="I68" t="s">
        <v>1801</v>
      </c>
    </row>
    <row r="69" spans="1:9" ht="12.75">
      <c r="A69" t="s">
        <v>1793</v>
      </c>
      <c r="B69" t="s">
        <v>1802</v>
      </c>
      <c r="C69" s="72">
        <v>1</v>
      </c>
      <c r="D69" s="72" t="s">
        <v>1206</v>
      </c>
      <c r="E69" s="12">
        <v>11.1</v>
      </c>
      <c r="F69">
        <v>0.0868</v>
      </c>
      <c r="G69" s="248">
        <f>E69+(E69*F69)</f>
        <v>12.06348</v>
      </c>
      <c r="H69" s="215">
        <f>G69/C69</f>
        <v>12.06348</v>
      </c>
      <c r="I69" s="297" t="s">
        <v>1803</v>
      </c>
    </row>
    <row r="70" spans="1:9" ht="12.75">
      <c r="A70" t="s">
        <v>1793</v>
      </c>
      <c r="B70" t="s">
        <v>1804</v>
      </c>
      <c r="C70" s="72">
        <v>1</v>
      </c>
      <c r="D70" s="72" t="s">
        <v>1206</v>
      </c>
      <c r="E70" s="12">
        <v>13.45</v>
      </c>
      <c r="F70">
        <v>0.0868</v>
      </c>
      <c r="G70" s="248">
        <f>E70+(E70*F70)</f>
        <v>14.61746</v>
      </c>
      <c r="H70" s="215">
        <f>G70/C70</f>
        <v>14.61746</v>
      </c>
      <c r="I70" t="s">
        <v>1801</v>
      </c>
    </row>
    <row r="71" spans="4:8" ht="12.75">
      <c r="D71" s="72"/>
      <c r="E71" s="12"/>
      <c r="G71" s="248"/>
      <c r="H71" s="215"/>
    </row>
    <row r="72" spans="1:9" ht="12.75">
      <c r="A72" t="s">
        <v>1805</v>
      </c>
      <c r="B72" t="s">
        <v>1806</v>
      </c>
      <c r="C72" s="72">
        <v>1</v>
      </c>
      <c r="D72" s="72" t="s">
        <v>1206</v>
      </c>
      <c r="E72" s="12">
        <v>10.5</v>
      </c>
      <c r="F72">
        <v>0.0868</v>
      </c>
      <c r="G72" s="248">
        <f>E72+(E72*F72)</f>
        <v>11.4114</v>
      </c>
      <c r="H72" s="215">
        <f>G72/C72</f>
        <v>11.4114</v>
      </c>
      <c r="I72" s="297" t="s">
        <v>1782</v>
      </c>
    </row>
    <row r="73" spans="1:9" ht="12.75">
      <c r="A73" t="s">
        <v>1805</v>
      </c>
      <c r="B73" t="s">
        <v>1807</v>
      </c>
      <c r="C73" s="72">
        <v>1</v>
      </c>
      <c r="D73" s="72" t="s">
        <v>1206</v>
      </c>
      <c r="E73" s="12">
        <v>6.6</v>
      </c>
      <c r="F73">
        <v>0.0868</v>
      </c>
      <c r="G73" s="248">
        <f>E73+(E73*F73)</f>
        <v>7.172879999999999</v>
      </c>
      <c r="H73" s="215">
        <f>G73/C73</f>
        <v>7.172879999999999</v>
      </c>
      <c r="I73" s="297" t="s">
        <v>1782</v>
      </c>
    </row>
    <row r="74" spans="1:9" ht="12.75">
      <c r="A74" t="s">
        <v>1805</v>
      </c>
      <c r="B74" t="s">
        <v>1808</v>
      </c>
      <c r="C74" s="72">
        <v>1</v>
      </c>
      <c r="D74" s="72" t="s">
        <v>1206</v>
      </c>
      <c r="E74" s="12">
        <v>21.45</v>
      </c>
      <c r="F74">
        <v>0.0868</v>
      </c>
      <c r="G74" s="248">
        <f>E74+(E74*F74)</f>
        <v>23.31186</v>
      </c>
      <c r="H74" s="215">
        <f>G74/C74</f>
        <v>23.31186</v>
      </c>
      <c r="I74" s="297" t="s">
        <v>1782</v>
      </c>
    </row>
    <row r="75" spans="1:9" ht="12.75">
      <c r="A75" t="s">
        <v>1805</v>
      </c>
      <c r="B75" t="s">
        <v>1809</v>
      </c>
      <c r="C75" s="72">
        <v>1</v>
      </c>
      <c r="D75" s="72" t="s">
        <v>1206</v>
      </c>
      <c r="E75" s="12">
        <v>26.4</v>
      </c>
      <c r="F75">
        <v>0.0868</v>
      </c>
      <c r="G75" s="248">
        <f>E75+(E75*F75)</f>
        <v>28.691519999999997</v>
      </c>
      <c r="H75" s="215">
        <f>G75/C75</f>
        <v>28.691519999999997</v>
      </c>
      <c r="I75" s="297" t="s">
        <v>1782</v>
      </c>
    </row>
    <row r="76" spans="1:9" ht="12.75">
      <c r="A76" t="s">
        <v>1805</v>
      </c>
      <c r="B76" t="s">
        <v>1810</v>
      </c>
      <c r="C76" s="72">
        <v>1</v>
      </c>
      <c r="D76" s="72" t="s">
        <v>1206</v>
      </c>
      <c r="E76" s="12">
        <v>32.45</v>
      </c>
      <c r="F76">
        <v>0.0868</v>
      </c>
      <c r="G76" s="248">
        <f>E76+(E76*F76)</f>
        <v>35.26666</v>
      </c>
      <c r="H76" s="215">
        <f>G76/C76</f>
        <v>35.26666</v>
      </c>
      <c r="I76" s="297" t="s">
        <v>1782</v>
      </c>
    </row>
    <row r="77" spans="1:9" ht="12.75">
      <c r="A77" t="s">
        <v>1805</v>
      </c>
      <c r="B77" t="s">
        <v>1811</v>
      </c>
      <c r="C77" s="72">
        <v>1</v>
      </c>
      <c r="D77" s="72" t="s">
        <v>1206</v>
      </c>
      <c r="E77" s="12">
        <v>14.48</v>
      </c>
      <c r="F77">
        <v>0.0868</v>
      </c>
      <c r="G77" s="248">
        <f>E77+(E77*F77)</f>
        <v>15.736864</v>
      </c>
      <c r="H77" s="215">
        <f>G77/C77</f>
        <v>15.736864</v>
      </c>
      <c r="I77" t="s">
        <v>1812</v>
      </c>
    </row>
    <row r="78" spans="1:9" ht="12.75">
      <c r="A78" s="344" t="s">
        <v>1805</v>
      </c>
      <c r="B78" s="344" t="s">
        <v>1813</v>
      </c>
      <c r="C78" s="295">
        <v>1</v>
      </c>
      <c r="D78" s="295" t="s">
        <v>1206</v>
      </c>
      <c r="E78" s="345">
        <v>18</v>
      </c>
      <c r="F78" s="344">
        <v>0.0868</v>
      </c>
      <c r="G78" s="346">
        <f>E78+(E78*F78)</f>
        <v>19.5624</v>
      </c>
      <c r="H78" s="347">
        <f>G78/C78</f>
        <v>19.5624</v>
      </c>
      <c r="I78" s="344" t="s">
        <v>1814</v>
      </c>
    </row>
    <row r="79" spans="1:9" ht="12.75">
      <c r="A79" s="344" t="s">
        <v>1805</v>
      </c>
      <c r="B79" s="344" t="s">
        <v>1815</v>
      </c>
      <c r="C79" s="295">
        <v>1</v>
      </c>
      <c r="D79" s="295" t="s">
        <v>1206</v>
      </c>
      <c r="E79" s="345">
        <v>30</v>
      </c>
      <c r="F79" s="344">
        <v>0.0868</v>
      </c>
      <c r="G79" s="346">
        <f>E79+(E79*F79)</f>
        <v>32.604</v>
      </c>
      <c r="H79" s="347">
        <f>G79/C79</f>
        <v>32.604</v>
      </c>
      <c r="I79" s="344" t="s">
        <v>1814</v>
      </c>
    </row>
    <row r="80" spans="1:9" ht="12.75">
      <c r="A80" s="344" t="s">
        <v>1805</v>
      </c>
      <c r="B80" s="344" t="s">
        <v>1816</v>
      </c>
      <c r="C80" s="295">
        <v>1</v>
      </c>
      <c r="D80" s="295" t="s">
        <v>1206</v>
      </c>
      <c r="E80" s="345">
        <v>50</v>
      </c>
      <c r="F80" s="344">
        <v>0.0868</v>
      </c>
      <c r="G80" s="346">
        <f>E80+(E80*F80)</f>
        <v>54.34</v>
      </c>
      <c r="H80" s="347">
        <f>G80/C80</f>
        <v>54.34</v>
      </c>
      <c r="I80" s="344" t="s">
        <v>1814</v>
      </c>
    </row>
    <row r="81" spans="1:9" ht="12.75">
      <c r="A81" t="s">
        <v>1805</v>
      </c>
      <c r="B81" t="s">
        <v>1817</v>
      </c>
      <c r="C81" s="72">
        <v>1</v>
      </c>
      <c r="D81" s="72" t="s">
        <v>1206</v>
      </c>
      <c r="E81" s="12">
        <v>67.86</v>
      </c>
      <c r="F81">
        <v>0.0868</v>
      </c>
      <c r="G81" s="248">
        <f>E81+(E81*F81)</f>
        <v>73.750248</v>
      </c>
      <c r="H81" s="215">
        <f>G81/C81</f>
        <v>73.750248</v>
      </c>
      <c r="I81" t="s">
        <v>1818</v>
      </c>
    </row>
    <row r="82" spans="4:8" ht="12.75">
      <c r="D82" s="72"/>
      <c r="E82" s="12"/>
      <c r="G82" s="248"/>
      <c r="H82" s="215"/>
    </row>
    <row r="83" spans="1:9" ht="12.75">
      <c r="A83" t="s">
        <v>1819</v>
      </c>
      <c r="B83" t="s">
        <v>1820</v>
      </c>
      <c r="C83" s="72">
        <v>1</v>
      </c>
      <c r="D83" s="72" t="s">
        <v>1206</v>
      </c>
      <c r="E83" s="12">
        <v>5.87</v>
      </c>
      <c r="F83">
        <v>0.0868</v>
      </c>
      <c r="G83" s="248">
        <f>E83+(E83*F83)</f>
        <v>6.379516</v>
      </c>
      <c r="H83" s="215">
        <f>G83/C83</f>
        <v>6.379516</v>
      </c>
      <c r="I83" s="297" t="s">
        <v>1821</v>
      </c>
    </row>
    <row r="84" spans="4:8" ht="12.75">
      <c r="D84" s="72"/>
      <c r="E84" s="12"/>
      <c r="G84" s="248"/>
      <c r="H84" s="215"/>
    </row>
    <row r="85" spans="1:9" ht="12.75">
      <c r="A85" s="344" t="s">
        <v>1822</v>
      </c>
      <c r="B85" s="344" t="s">
        <v>1823</v>
      </c>
      <c r="C85" s="295">
        <v>1</v>
      </c>
      <c r="D85" s="295" t="s">
        <v>1206</v>
      </c>
      <c r="E85" s="345">
        <v>20</v>
      </c>
      <c r="F85" s="344">
        <v>0.0868</v>
      </c>
      <c r="G85" s="346">
        <f>E85+(E85*F85)</f>
        <v>21.736</v>
      </c>
      <c r="H85" s="347">
        <f>G85/C85</f>
        <v>21.736</v>
      </c>
      <c r="I85" s="344" t="s">
        <v>1730</v>
      </c>
    </row>
    <row r="86" spans="3:8" ht="12.75">
      <c r="C86"/>
      <c r="E86" s="12"/>
      <c r="G86" s="215"/>
      <c r="H86" s="215"/>
    </row>
    <row r="87" spans="1:9" ht="12.75">
      <c r="A87" t="s">
        <v>1824</v>
      </c>
      <c r="B87" t="s">
        <v>1825</v>
      </c>
      <c r="C87" s="72">
        <v>1</v>
      </c>
      <c r="D87" s="72" t="s">
        <v>1659</v>
      </c>
      <c r="E87" s="37">
        <v>0.96</v>
      </c>
      <c r="F87">
        <v>0.0868</v>
      </c>
      <c r="G87" s="248">
        <f>E87+(E87*F87)</f>
        <v>1.043328</v>
      </c>
      <c r="H87" s="215">
        <f>G87/C87</f>
        <v>1.043328</v>
      </c>
      <c r="I87" t="s">
        <v>1826</v>
      </c>
    </row>
    <row r="88" spans="1:9" ht="12.75">
      <c r="A88" t="s">
        <v>1827</v>
      </c>
      <c r="B88" t="s">
        <v>1828</v>
      </c>
      <c r="C88" s="72">
        <v>85</v>
      </c>
      <c r="D88" s="72" t="s">
        <v>1206</v>
      </c>
      <c r="E88" s="37">
        <v>4.33</v>
      </c>
      <c r="F88">
        <v>0.0868</v>
      </c>
      <c r="G88" s="248">
        <f>E88+(E88*F88)</f>
        <v>4.705844</v>
      </c>
      <c r="H88" s="215">
        <f>G88/C88</f>
        <v>0.055362870588235295</v>
      </c>
      <c r="I88" t="s">
        <v>1829</v>
      </c>
    </row>
    <row r="89" spans="1:9" ht="12.75">
      <c r="A89" t="s">
        <v>1830</v>
      </c>
      <c r="B89" t="s">
        <v>1831</v>
      </c>
      <c r="C89" s="72">
        <v>4000</v>
      </c>
      <c r="D89" s="72" t="s">
        <v>1659</v>
      </c>
      <c r="E89" s="37">
        <v>50.93</v>
      </c>
      <c r="F89">
        <v>0.0868</v>
      </c>
      <c r="G89" s="248">
        <f>E89+(E89*F89)</f>
        <v>55.350724</v>
      </c>
      <c r="H89" s="215">
        <f>G89/C89</f>
        <v>0.013837681</v>
      </c>
      <c r="I89" s="297" t="s">
        <v>1832</v>
      </c>
    </row>
    <row r="90" spans="1:9" ht="12.75">
      <c r="A90" t="s">
        <v>1833</v>
      </c>
      <c r="B90" t="s">
        <v>1834</v>
      </c>
      <c r="C90" s="72">
        <v>1</v>
      </c>
      <c r="D90" s="72" t="s">
        <v>1659</v>
      </c>
      <c r="E90" s="37">
        <v>10.37</v>
      </c>
      <c r="F90">
        <v>0.0868</v>
      </c>
      <c r="G90" s="248">
        <f>E90+(E90*F90)</f>
        <v>11.270116</v>
      </c>
      <c r="H90" s="215">
        <f>G90/C90</f>
        <v>11.270116</v>
      </c>
      <c r="I90" t="s">
        <v>1835</v>
      </c>
    </row>
    <row r="91" spans="1:9" ht="12.75">
      <c r="A91" t="s">
        <v>1836</v>
      </c>
      <c r="B91" t="s">
        <v>1837</v>
      </c>
      <c r="C91" s="72">
        <v>50</v>
      </c>
      <c r="D91" s="72" t="s">
        <v>588</v>
      </c>
      <c r="E91" s="37">
        <v>20.87</v>
      </c>
      <c r="F91">
        <v>0.0868</v>
      </c>
      <c r="G91" s="248">
        <f>E91+(E91*F91)</f>
        <v>22.681516000000002</v>
      </c>
      <c r="H91" s="215">
        <f>G91/C91</f>
        <v>0.45363032000000003</v>
      </c>
      <c r="I91" t="s">
        <v>1838</v>
      </c>
    </row>
    <row r="92" spans="1:9" ht="12.75">
      <c r="A92" t="s">
        <v>1839</v>
      </c>
      <c r="B92" t="s">
        <v>1840</v>
      </c>
      <c r="C92" s="72">
        <v>48.96</v>
      </c>
      <c r="D92" s="72" t="s">
        <v>588</v>
      </c>
      <c r="E92" s="37">
        <v>19.73</v>
      </c>
      <c r="F92">
        <v>0.0868</v>
      </c>
      <c r="G92" s="248">
        <f>E92+(E92*F92)</f>
        <v>21.442564</v>
      </c>
      <c r="H92" s="215">
        <f>G92/C92</f>
        <v>0.4379608660130719</v>
      </c>
      <c r="I92" t="s">
        <v>1841</v>
      </c>
    </row>
    <row r="93" spans="1:9" ht="12.75">
      <c r="A93" t="s">
        <v>1842</v>
      </c>
      <c r="B93" t="s">
        <v>1843</v>
      </c>
      <c r="C93" s="72">
        <v>77.5</v>
      </c>
      <c r="D93" s="72" t="s">
        <v>588</v>
      </c>
      <c r="E93" s="37">
        <v>31.84</v>
      </c>
      <c r="F93">
        <v>0.0868</v>
      </c>
      <c r="G93" s="248">
        <f>E93+(E93*F93)</f>
        <v>34.603712</v>
      </c>
      <c r="H93" s="215">
        <f>G93/C93</f>
        <v>0.44649950967741936</v>
      </c>
      <c r="I93" t="s">
        <v>1844</v>
      </c>
    </row>
    <row r="94" spans="1:9" ht="12.75">
      <c r="A94" t="s">
        <v>1845</v>
      </c>
      <c r="B94" s="12" t="s">
        <v>1846</v>
      </c>
      <c r="C94" s="72">
        <v>40</v>
      </c>
      <c r="D94" s="72" t="s">
        <v>588</v>
      </c>
      <c r="E94" s="37">
        <v>9.07</v>
      </c>
      <c r="F94">
        <v>0.0868</v>
      </c>
      <c r="G94" s="248">
        <f>E94+(E94*F94)</f>
        <v>9.857276</v>
      </c>
      <c r="H94" s="215">
        <f>G94/C94</f>
        <v>0.2464319</v>
      </c>
      <c r="I94" t="s">
        <v>1847</v>
      </c>
    </row>
    <row r="95" spans="1:9" ht="12.75">
      <c r="A95" t="s">
        <v>1848</v>
      </c>
      <c r="B95" t="s">
        <v>1849</v>
      </c>
      <c r="C95" s="72">
        <v>678.1</v>
      </c>
      <c r="D95" s="72" t="s">
        <v>588</v>
      </c>
      <c r="E95" s="37">
        <v>629.09</v>
      </c>
      <c r="F95">
        <v>0.0868</v>
      </c>
      <c r="G95" s="248">
        <f>E95+(E95*F95)</f>
        <v>683.695012</v>
      </c>
      <c r="H95" s="215">
        <f>G95/C95</f>
        <v>1.0082510131249078</v>
      </c>
      <c r="I95" t="s">
        <v>1850</v>
      </c>
    </row>
    <row r="96" spans="1:9" ht="12.75">
      <c r="A96" t="s">
        <v>1851</v>
      </c>
      <c r="B96" t="s">
        <v>1852</v>
      </c>
      <c r="C96" s="72">
        <v>88</v>
      </c>
      <c r="D96" s="72" t="s">
        <v>588</v>
      </c>
      <c r="E96" s="12">
        <v>80.98</v>
      </c>
      <c r="F96">
        <v>0.0868</v>
      </c>
      <c r="G96" s="248">
        <f>E96+(E96*F96)</f>
        <v>88.00906400000001</v>
      </c>
      <c r="H96" s="215">
        <f>G96/C96</f>
        <v>1.0001030000000002</v>
      </c>
      <c r="I96" s="297" t="s">
        <v>1853</v>
      </c>
    </row>
    <row r="97" spans="1:9" ht="12.75">
      <c r="A97" t="s">
        <v>1854</v>
      </c>
      <c r="B97" t="s">
        <v>1855</v>
      </c>
      <c r="C97" s="72">
        <v>72</v>
      </c>
      <c r="D97" s="72" t="s">
        <v>588</v>
      </c>
      <c r="E97" s="12">
        <v>69.98</v>
      </c>
      <c r="F97">
        <v>0.0868</v>
      </c>
      <c r="G97" s="248">
        <f>E97+(E97*F97)</f>
        <v>76.054264</v>
      </c>
      <c r="H97" s="215">
        <f>G97/C97</f>
        <v>1.0563092222222223</v>
      </c>
      <c r="I97" s="297" t="s">
        <v>1856</v>
      </c>
    </row>
    <row r="98" spans="1:9" ht="12.75">
      <c r="A98" t="s">
        <v>1857</v>
      </c>
      <c r="B98" t="s">
        <v>1858</v>
      </c>
      <c r="C98" s="72">
        <v>512</v>
      </c>
      <c r="D98" s="72" t="s">
        <v>588</v>
      </c>
      <c r="E98" s="12">
        <v>857.68</v>
      </c>
      <c r="F98">
        <v>0.0868</v>
      </c>
      <c r="G98" s="248">
        <f>E98+(E98*F98)</f>
        <v>932.126624</v>
      </c>
      <c r="H98" s="215">
        <f>G98/C98</f>
        <v>1.8205598125</v>
      </c>
      <c r="I98" s="297" t="s">
        <v>1859</v>
      </c>
    </row>
    <row r="99" spans="1:9" ht="12.75">
      <c r="A99" t="s">
        <v>1860</v>
      </c>
      <c r="B99" t="s">
        <v>1861</v>
      </c>
      <c r="C99" s="72">
        <v>48</v>
      </c>
      <c r="D99" s="72" t="s">
        <v>588</v>
      </c>
      <c r="E99" s="37">
        <v>72</v>
      </c>
      <c r="F99">
        <v>0.0868</v>
      </c>
      <c r="G99" s="248">
        <f>E99+(E99*F99)</f>
        <v>78.2496</v>
      </c>
      <c r="H99" s="215">
        <f>G99/C99</f>
        <v>1.6302</v>
      </c>
      <c r="I99" s="297" t="s">
        <v>1862</v>
      </c>
    </row>
    <row r="100" spans="1:9" ht="12.75">
      <c r="A100" t="s">
        <v>1863</v>
      </c>
      <c r="B100" t="s">
        <v>1864</v>
      </c>
      <c r="C100" s="72">
        <v>34.98</v>
      </c>
      <c r="D100" s="72" t="s">
        <v>588</v>
      </c>
      <c r="E100" s="37">
        <v>34.98</v>
      </c>
      <c r="F100">
        <v>0.0868</v>
      </c>
      <c r="G100" s="248">
        <f>E100+(E100*F100)</f>
        <v>38.016264</v>
      </c>
      <c r="H100" s="215">
        <f>G100/C100</f>
        <v>1.0868</v>
      </c>
      <c r="I100" t="s">
        <v>1865</v>
      </c>
    </row>
    <row r="101" spans="1:9" ht="12.75">
      <c r="A101" t="s">
        <v>1866</v>
      </c>
      <c r="B101" s="12" t="s">
        <v>1867</v>
      </c>
      <c r="C101" s="72">
        <v>1</v>
      </c>
      <c r="D101" s="72" t="s">
        <v>588</v>
      </c>
      <c r="E101" s="37"/>
      <c r="F101">
        <v>0.0868</v>
      </c>
      <c r="G101" s="248">
        <f>E101+(E101*F101)</f>
        <v>0</v>
      </c>
      <c r="H101" s="215">
        <f>G101/C101</f>
        <v>0</v>
      </c>
      <c r="I101" t="s">
        <v>1868</v>
      </c>
    </row>
    <row r="102" spans="1:9" ht="12.75">
      <c r="A102" t="s">
        <v>1869</v>
      </c>
      <c r="B102" s="12">
        <f>447.78/36</f>
        <v>12.438333333333333</v>
      </c>
      <c r="C102" s="72">
        <v>1</v>
      </c>
      <c r="D102" s="72" t="s">
        <v>588</v>
      </c>
      <c r="E102" s="37">
        <f>B102/60</f>
        <v>0.20730555555555555</v>
      </c>
      <c r="F102">
        <v>0.0868</v>
      </c>
      <c r="G102" s="248">
        <f>E102+(E102*F102)</f>
        <v>0.22529967777777776</v>
      </c>
      <c r="H102" s="215">
        <f>G102/C102</f>
        <v>0.22529967777777776</v>
      </c>
      <c r="I102" t="s">
        <v>1868</v>
      </c>
    </row>
    <row r="103" spans="1:9" ht="12.75">
      <c r="A103" t="s">
        <v>1870</v>
      </c>
      <c r="B103" s="12"/>
      <c r="C103" s="72">
        <v>1</v>
      </c>
      <c r="D103" s="72" t="s">
        <v>588</v>
      </c>
      <c r="E103" s="37">
        <f>E102*(40/19)</f>
        <v>0.43643274853801167</v>
      </c>
      <c r="F103">
        <v>0.0868</v>
      </c>
      <c r="G103" s="248">
        <f>E103+(E103*F103)</f>
        <v>0.4743151111111111</v>
      </c>
      <c r="H103" s="215">
        <f>G103/C103</f>
        <v>0.4743151111111111</v>
      </c>
      <c r="I103" t="s">
        <v>1868</v>
      </c>
    </row>
    <row r="104" spans="1:9" ht="12.75">
      <c r="A104" t="s">
        <v>1871</v>
      </c>
      <c r="B104" s="12" t="s">
        <v>1872</v>
      </c>
      <c r="C104" s="72">
        <f>8*750</f>
        <v>6000</v>
      </c>
      <c r="D104" s="72" t="s">
        <v>588</v>
      </c>
      <c r="E104" s="37">
        <v>483.13</v>
      </c>
      <c r="F104">
        <v>0.0868</v>
      </c>
      <c r="G104" s="248">
        <f>E104+(E104*F104)</f>
        <v>525.065684</v>
      </c>
      <c r="H104" s="215">
        <f>G104/C104</f>
        <v>0.08751094733333334</v>
      </c>
      <c r="I104" t="s">
        <v>1873</v>
      </c>
    </row>
    <row r="105" spans="1:9" ht="12.75">
      <c r="A105" t="s">
        <v>1874</v>
      </c>
      <c r="B105" s="12" t="s">
        <v>1875</v>
      </c>
      <c r="C105" s="72">
        <f>4*8</f>
        <v>32</v>
      </c>
      <c r="D105" s="72" t="s">
        <v>588</v>
      </c>
      <c r="E105" s="37">
        <v>39.95</v>
      </c>
      <c r="F105">
        <v>0.0868</v>
      </c>
      <c r="G105" s="248">
        <f>E105+(E105*F105)</f>
        <v>43.417660000000005</v>
      </c>
      <c r="H105" s="215">
        <f>G105/C105</f>
        <v>1.3568018750000002</v>
      </c>
      <c r="I105" s="297" t="s">
        <v>1876</v>
      </c>
    </row>
    <row r="106" spans="1:9" ht="12.75">
      <c r="A106" t="s">
        <v>1877</v>
      </c>
      <c r="B106" s="12" t="s">
        <v>1878</v>
      </c>
      <c r="C106" s="72">
        <v>32</v>
      </c>
      <c r="D106" s="72" t="s">
        <v>588</v>
      </c>
      <c r="E106" s="37">
        <v>30.6</v>
      </c>
      <c r="F106">
        <v>0.0868</v>
      </c>
      <c r="G106" s="248">
        <f>E106+(E106*F106)</f>
        <v>33.256080000000004</v>
      </c>
      <c r="H106" s="215">
        <f>G106/C106</f>
        <v>1.0392525000000001</v>
      </c>
      <c r="I106" s="297" t="s">
        <v>1879</v>
      </c>
    </row>
    <row r="107" spans="1:9" ht="12.75">
      <c r="A107" t="s">
        <v>1880</v>
      </c>
      <c r="B107" s="12" t="s">
        <v>1881</v>
      </c>
      <c r="C107" s="72">
        <v>32</v>
      </c>
      <c r="D107" s="72" t="s">
        <v>588</v>
      </c>
      <c r="E107" s="37">
        <v>20.75</v>
      </c>
      <c r="F107">
        <v>0.0868</v>
      </c>
      <c r="G107" s="248">
        <f>E107+(E107*F107)</f>
        <v>22.5511</v>
      </c>
      <c r="H107" s="215">
        <f>G107/C107</f>
        <v>0.704721875</v>
      </c>
      <c r="I107" s="297" t="s">
        <v>1879</v>
      </c>
    </row>
    <row r="108" spans="1:9" ht="12.75">
      <c r="A108" t="s">
        <v>1882</v>
      </c>
      <c r="B108" s="12" t="s">
        <v>1883</v>
      </c>
      <c r="C108" s="72">
        <f>13*50</f>
        <v>650</v>
      </c>
      <c r="D108" s="72" t="s">
        <v>588</v>
      </c>
      <c r="E108" s="37">
        <v>309.25</v>
      </c>
      <c r="F108">
        <v>0.0868</v>
      </c>
      <c r="G108" s="248">
        <f>E108+(E108*F108)</f>
        <v>336.0929</v>
      </c>
      <c r="H108" s="215">
        <f>G108/C108</f>
        <v>0.517066</v>
      </c>
      <c r="I108" s="297" t="s">
        <v>1884</v>
      </c>
    </row>
    <row r="109" spans="1:9" ht="12.75">
      <c r="A109" t="s">
        <v>1885</v>
      </c>
      <c r="B109" s="12" t="s">
        <v>1886</v>
      </c>
      <c r="C109" s="72">
        <v>500</v>
      </c>
      <c r="D109" s="72" t="s">
        <v>588</v>
      </c>
      <c r="E109" s="37">
        <v>32.99</v>
      </c>
      <c r="F109">
        <v>0.0868</v>
      </c>
      <c r="G109" s="248">
        <f>E109+(E109*F109)</f>
        <v>35.853532</v>
      </c>
      <c r="H109" s="215">
        <f>G109/C109</f>
        <v>0.071707064</v>
      </c>
      <c r="I109" s="297" t="s">
        <v>1887</v>
      </c>
    </row>
    <row r="110" spans="1:9" ht="12.75">
      <c r="A110" t="s">
        <v>1888</v>
      </c>
      <c r="B110" t="s">
        <v>1889</v>
      </c>
      <c r="C110" s="72">
        <v>25.99</v>
      </c>
      <c r="D110" s="72" t="s">
        <v>1206</v>
      </c>
      <c r="E110" s="37">
        <v>25.99</v>
      </c>
      <c r="F110">
        <v>0.0868</v>
      </c>
      <c r="G110" s="248">
        <f>E110+(E110*F110)</f>
        <v>28.245932</v>
      </c>
      <c r="H110" s="215">
        <f>G110/C110</f>
        <v>1.0868</v>
      </c>
      <c r="I110" s="297" t="s">
        <v>1890</v>
      </c>
    </row>
    <row r="111" spans="1:9" ht="12.75">
      <c r="A111" t="s">
        <v>1891</v>
      </c>
      <c r="B111" s="12">
        <v>119</v>
      </c>
      <c r="C111" s="72">
        <v>1</v>
      </c>
      <c r="D111" s="72" t="s">
        <v>1659</v>
      </c>
      <c r="E111" s="37">
        <v>119</v>
      </c>
      <c r="F111">
        <v>0.0868</v>
      </c>
      <c r="G111" s="248">
        <f>E111+(E111*F111)</f>
        <v>129.32920000000001</v>
      </c>
      <c r="H111" s="215">
        <f>G111/C111</f>
        <v>129.32920000000001</v>
      </c>
      <c r="I111" s="297" t="s">
        <v>1892</v>
      </c>
    </row>
    <row r="112" spans="4:8" ht="12.75">
      <c r="D112" s="72"/>
      <c r="E112" s="37"/>
      <c r="G112" s="248"/>
      <c r="H112" s="215"/>
    </row>
    <row r="113" spans="1:9" ht="12.75">
      <c r="A113" t="s">
        <v>1893</v>
      </c>
      <c r="B113" s="348" t="s">
        <v>1894</v>
      </c>
      <c r="C113" s="72">
        <f>3*165*0.9</f>
        <v>445.5</v>
      </c>
      <c r="D113" s="184" t="s">
        <v>588</v>
      </c>
      <c r="E113" s="37">
        <v>66.25</v>
      </c>
      <c r="F113">
        <v>0.0868</v>
      </c>
      <c r="G113" s="248">
        <f>E113+(E113*F113)</f>
        <v>72.0005</v>
      </c>
      <c r="H113" s="215">
        <f>G113/C113</f>
        <v>0.16161728395061728</v>
      </c>
      <c r="I113" t="s">
        <v>1895</v>
      </c>
    </row>
    <row r="114" spans="1:9" ht="12.75">
      <c r="A114" t="s">
        <v>1896</v>
      </c>
      <c r="B114" s="348" t="s">
        <v>1897</v>
      </c>
      <c r="C114" s="72">
        <f>9*150</f>
        <v>1350</v>
      </c>
      <c r="D114" s="184" t="s">
        <v>588</v>
      </c>
      <c r="E114" s="37">
        <v>165</v>
      </c>
      <c r="F114">
        <v>0.0868</v>
      </c>
      <c r="G114" s="248">
        <f>E114+(E114*F114)</f>
        <v>179.322</v>
      </c>
      <c r="H114" s="215">
        <f>G114/C114</f>
        <v>0.13283111111111112</v>
      </c>
      <c r="I114" s="349" t="s">
        <v>1898</v>
      </c>
    </row>
    <row r="115" spans="1:9" ht="12.75">
      <c r="A115" t="s">
        <v>924</v>
      </c>
      <c r="B115" s="348" t="s">
        <v>1899</v>
      </c>
      <c r="C115" s="72">
        <v>164</v>
      </c>
      <c r="D115" s="184" t="s">
        <v>1206</v>
      </c>
      <c r="E115" s="37">
        <v>13.25</v>
      </c>
      <c r="F115">
        <v>0.0868</v>
      </c>
      <c r="G115" s="248">
        <f>E115+(E115*F115)</f>
        <v>14.4001</v>
      </c>
      <c r="H115" s="215">
        <f>G115/C115</f>
        <v>0.08780548780487805</v>
      </c>
      <c r="I115" s="349" t="s">
        <v>1900</v>
      </c>
    </row>
    <row r="116" spans="2:9" ht="12.75">
      <c r="B116" s="348"/>
      <c r="D116" s="184"/>
      <c r="E116" s="37"/>
      <c r="G116" s="248"/>
      <c r="H116" s="215"/>
      <c r="I116" s="349"/>
    </row>
    <row r="117" spans="1:9" ht="12.75">
      <c r="A117" t="s">
        <v>1901</v>
      </c>
      <c r="B117" t="s">
        <v>1902</v>
      </c>
      <c r="C117" s="72">
        <v>7</v>
      </c>
      <c r="D117" s="72" t="s">
        <v>588</v>
      </c>
      <c r="E117" s="12">
        <v>8.72</v>
      </c>
      <c r="F117">
        <v>0.0868</v>
      </c>
      <c r="G117" s="248">
        <f>E117+(E117*F117)</f>
        <v>9.476896</v>
      </c>
      <c r="H117" s="215">
        <f>G117/C117</f>
        <v>1.3538422857142858</v>
      </c>
      <c r="I117" t="s">
        <v>1903</v>
      </c>
    </row>
    <row r="118" spans="1:9" ht="12.75">
      <c r="A118" t="s">
        <v>1904</v>
      </c>
      <c r="B118" t="s">
        <v>1905</v>
      </c>
      <c r="C118" s="72">
        <f>2*8</f>
        <v>16</v>
      </c>
      <c r="D118" s="72" t="s">
        <v>588</v>
      </c>
      <c r="E118" s="12">
        <v>27.74</v>
      </c>
      <c r="F118">
        <v>0.0868</v>
      </c>
      <c r="G118" s="248">
        <f>E118+(E118*F118)</f>
        <v>30.147831999999998</v>
      </c>
      <c r="H118" s="215">
        <f>G118/C118</f>
        <v>1.8842394999999998</v>
      </c>
      <c r="I118" t="s">
        <v>1906</v>
      </c>
    </row>
    <row r="119" spans="1:9" ht="12.75">
      <c r="A119" t="s">
        <v>1907</v>
      </c>
      <c r="B119" t="s">
        <v>1908</v>
      </c>
      <c r="C119" s="72">
        <f>144/12</f>
        <v>12</v>
      </c>
      <c r="D119" s="72" t="s">
        <v>1206</v>
      </c>
      <c r="E119" s="12">
        <v>13.65</v>
      </c>
      <c r="F119">
        <v>0.0868</v>
      </c>
      <c r="G119" s="248">
        <f>E119+(E119*F119)</f>
        <v>14.83482</v>
      </c>
      <c r="H119" s="215">
        <f>G119/C119</f>
        <v>1.236235</v>
      </c>
      <c r="I119" t="s">
        <v>1909</v>
      </c>
    </row>
    <row r="120" spans="1:9" ht="12.75">
      <c r="A120" t="s">
        <v>1910</v>
      </c>
      <c r="B120" t="s">
        <v>1911</v>
      </c>
      <c r="C120" s="72">
        <v>7200</v>
      </c>
      <c r="D120" s="72" t="s">
        <v>1659</v>
      </c>
      <c r="E120" s="12">
        <v>32.24</v>
      </c>
      <c r="F120">
        <v>0.0868</v>
      </c>
      <c r="G120" s="248">
        <f>E120+(E120*F120)</f>
        <v>35.038432</v>
      </c>
      <c r="H120" s="215">
        <f>G120/C120</f>
        <v>0.0048664488888888885</v>
      </c>
      <c r="I120" s="297" t="s">
        <v>1912</v>
      </c>
    </row>
    <row r="121" spans="2:8" ht="12.75">
      <c r="B121" s="290"/>
      <c r="D121" s="72"/>
      <c r="E121" s="37"/>
      <c r="G121" s="248"/>
      <c r="H121" s="215"/>
    </row>
    <row r="122" spans="1:9" ht="12.75">
      <c r="A122" t="s">
        <v>1913</v>
      </c>
      <c r="B122" s="290" t="s">
        <v>1914</v>
      </c>
      <c r="C122" s="72">
        <v>200</v>
      </c>
      <c r="D122" s="72" t="s">
        <v>1915</v>
      </c>
      <c r="E122" s="37">
        <v>45.98</v>
      </c>
      <c r="F122">
        <v>0.0868</v>
      </c>
      <c r="G122" s="248">
        <f>E122+(E122*F122)</f>
        <v>49.971064</v>
      </c>
      <c r="H122" s="215">
        <f>G122/C122</f>
        <v>0.24985532</v>
      </c>
      <c r="I122" t="s">
        <v>1916</v>
      </c>
    </row>
    <row r="123" spans="1:9" ht="12.75">
      <c r="A123" t="s">
        <v>1917</v>
      </c>
      <c r="B123" t="s">
        <v>1918</v>
      </c>
      <c r="C123" s="72">
        <v>4200</v>
      </c>
      <c r="D123" s="72" t="s">
        <v>1659</v>
      </c>
      <c r="E123" s="37">
        <v>88.67</v>
      </c>
      <c r="F123">
        <v>0.0868</v>
      </c>
      <c r="G123" s="248">
        <f>E123+(E123*F123)</f>
        <v>96.366556</v>
      </c>
      <c r="H123" s="215">
        <f>G123/C123</f>
        <v>0.022944418095238096</v>
      </c>
      <c r="I123" t="s">
        <v>1919</v>
      </c>
    </row>
    <row r="124" spans="4:8" ht="12.75">
      <c r="D124" s="72"/>
      <c r="E124" s="12"/>
      <c r="G124" s="248"/>
      <c r="H124" s="215"/>
    </row>
    <row r="125" spans="1:9" ht="12.75">
      <c r="A125" t="s">
        <v>182</v>
      </c>
      <c r="B125" s="337" t="s">
        <v>1920</v>
      </c>
      <c r="C125" s="72">
        <v>1</v>
      </c>
      <c r="D125" s="72" t="s">
        <v>1659</v>
      </c>
      <c r="E125" s="12">
        <v>302.54</v>
      </c>
      <c r="F125">
        <v>0.0868</v>
      </c>
      <c r="G125" s="248">
        <f>E125+(E125*F125)</f>
        <v>328.800472</v>
      </c>
      <c r="H125" s="215">
        <f>G125/C125</f>
        <v>328.800472</v>
      </c>
      <c r="I125" t="s">
        <v>1921</v>
      </c>
    </row>
    <row r="126" spans="1:9" ht="12.75">
      <c r="A126" t="s">
        <v>183</v>
      </c>
      <c r="B126" t="s">
        <v>1922</v>
      </c>
      <c r="C126" s="72">
        <v>1</v>
      </c>
      <c r="D126" s="72" t="s">
        <v>1659</v>
      </c>
      <c r="E126" s="12">
        <v>295.05</v>
      </c>
      <c r="F126">
        <v>0.0868</v>
      </c>
      <c r="G126" s="248">
        <f>E126+(E126*F126)</f>
        <v>320.66034</v>
      </c>
      <c r="H126" s="215">
        <f>G126/C126</f>
        <v>320.66034</v>
      </c>
      <c r="I126" t="s">
        <v>1923</v>
      </c>
    </row>
    <row r="127" spans="1:9" ht="12.75">
      <c r="A127" t="s">
        <v>184</v>
      </c>
      <c r="B127" t="s">
        <v>1924</v>
      </c>
      <c r="C127" s="72">
        <v>1</v>
      </c>
      <c r="D127" s="72" t="s">
        <v>1659</v>
      </c>
      <c r="E127" s="12">
        <v>140.93</v>
      </c>
      <c r="F127">
        <v>0.0868</v>
      </c>
      <c r="G127" s="248">
        <f>E127+(E127*F127)</f>
        <v>153.162724</v>
      </c>
      <c r="H127" s="215">
        <f>G127/C127</f>
        <v>153.162724</v>
      </c>
      <c r="I127" t="s">
        <v>1925</v>
      </c>
    </row>
    <row r="128" spans="1:9" ht="12.75">
      <c r="A128" t="s">
        <v>1117</v>
      </c>
      <c r="B128" s="270" t="s">
        <v>1124</v>
      </c>
      <c r="C128" s="72">
        <v>1</v>
      </c>
      <c r="D128" s="72" t="s">
        <v>1659</v>
      </c>
      <c r="E128" s="12">
        <v>460.05</v>
      </c>
      <c r="F128">
        <v>0.0868</v>
      </c>
      <c r="G128" s="248">
        <f>E128+(E128*F128)</f>
        <v>499.98234</v>
      </c>
      <c r="H128" s="215">
        <f>G128/C128</f>
        <v>499.98234</v>
      </c>
      <c r="I128" s="271" t="s">
        <v>1926</v>
      </c>
    </row>
    <row r="129" spans="1:9" ht="12.75">
      <c r="A129" t="s">
        <v>1117</v>
      </c>
      <c r="B129" s="270" t="s">
        <v>1927</v>
      </c>
      <c r="C129" s="72">
        <v>1</v>
      </c>
      <c r="D129" s="72" t="s">
        <v>1659</v>
      </c>
      <c r="E129" s="12">
        <v>331.72</v>
      </c>
      <c r="F129">
        <v>0.0868</v>
      </c>
      <c r="G129" s="248">
        <f>E129+(E129*F129)</f>
        <v>360.513296</v>
      </c>
      <c r="H129" s="215">
        <f>G129/C129</f>
        <v>360.513296</v>
      </c>
      <c r="I129" s="271" t="s">
        <v>1928</v>
      </c>
    </row>
    <row r="130" spans="1:9" ht="12.75">
      <c r="A130" t="s">
        <v>1117</v>
      </c>
      <c r="B130" s="270" t="s">
        <v>1129</v>
      </c>
      <c r="C130" s="72">
        <v>1</v>
      </c>
      <c r="D130" s="72" t="s">
        <v>1659</v>
      </c>
      <c r="E130" s="12">
        <v>295.71</v>
      </c>
      <c r="F130">
        <v>0.0868</v>
      </c>
      <c r="G130" s="248">
        <f>E130+(E130*F130)</f>
        <v>321.37762799999996</v>
      </c>
      <c r="H130" s="215">
        <f>G130/C130</f>
        <v>321.37762799999996</v>
      </c>
      <c r="I130" s="271" t="s">
        <v>1929</v>
      </c>
    </row>
    <row r="131" spans="1:9" ht="12.75">
      <c r="A131" t="s">
        <v>1117</v>
      </c>
      <c r="B131" s="270" t="s">
        <v>1137</v>
      </c>
      <c r="C131" s="72">
        <v>1</v>
      </c>
      <c r="D131" s="72" t="s">
        <v>1659</v>
      </c>
      <c r="E131" s="12">
        <v>263.41</v>
      </c>
      <c r="F131">
        <v>0.0868</v>
      </c>
      <c r="G131" s="248">
        <f>E131+(E131*F131)</f>
        <v>286.27398800000003</v>
      </c>
      <c r="H131" s="215">
        <f>G131/C131</f>
        <v>286.27398800000003</v>
      </c>
      <c r="I131" s="271" t="s">
        <v>1930</v>
      </c>
    </row>
    <row r="132" spans="1:9" ht="12.75">
      <c r="A132" t="s">
        <v>1117</v>
      </c>
      <c r="B132" s="270" t="s">
        <v>1143</v>
      </c>
      <c r="C132" s="72">
        <v>1</v>
      </c>
      <c r="D132" s="72" t="s">
        <v>1659</v>
      </c>
      <c r="E132" s="12">
        <v>199.24</v>
      </c>
      <c r="F132">
        <v>0.0868</v>
      </c>
      <c r="G132" s="248">
        <f>E132+(E132*F132)</f>
        <v>216.53403200000002</v>
      </c>
      <c r="H132" s="215">
        <f>G132/C132</f>
        <v>216.53403200000002</v>
      </c>
      <c r="I132" s="271" t="s">
        <v>1931</v>
      </c>
    </row>
    <row r="133" spans="1:9" ht="12.75">
      <c r="A133" t="s">
        <v>1117</v>
      </c>
      <c r="B133" s="270" t="s">
        <v>1149</v>
      </c>
      <c r="C133" s="72">
        <v>1</v>
      </c>
      <c r="D133" s="72" t="s">
        <v>1659</v>
      </c>
      <c r="E133" s="12">
        <v>250.83</v>
      </c>
      <c r="F133">
        <v>0.0868</v>
      </c>
      <c r="G133" s="248">
        <f>E133+(E133*F133)</f>
        <v>272.60204400000003</v>
      </c>
      <c r="H133" s="215">
        <f>G133/C133</f>
        <v>272.60204400000003</v>
      </c>
      <c r="I133" s="271" t="s">
        <v>1932</v>
      </c>
    </row>
    <row r="134" spans="1:9" ht="12.75">
      <c r="A134" t="s">
        <v>1117</v>
      </c>
      <c r="B134" s="270" t="s">
        <v>1152</v>
      </c>
      <c r="C134" s="72">
        <v>1</v>
      </c>
      <c r="D134" s="72" t="s">
        <v>1659</v>
      </c>
      <c r="E134" s="12"/>
      <c r="F134">
        <v>0.0868</v>
      </c>
      <c r="G134" s="248">
        <f>E134+(E134*F134)</f>
        <v>0</v>
      </c>
      <c r="H134" s="215">
        <f>G134/C134</f>
        <v>0</v>
      </c>
      <c r="I134" s="271"/>
    </row>
    <row r="135" spans="1:9" ht="12.75">
      <c r="A135" t="s">
        <v>1117</v>
      </c>
      <c r="B135" s="270" t="s">
        <v>1038</v>
      </c>
      <c r="C135" s="72">
        <v>1</v>
      </c>
      <c r="D135" s="72" t="s">
        <v>1659</v>
      </c>
      <c r="E135" s="12"/>
      <c r="F135">
        <v>0.0868</v>
      </c>
      <c r="G135" s="248">
        <f>E135+(E135*F135)</f>
        <v>0</v>
      </c>
      <c r="H135" s="215">
        <f>G135/C135</f>
        <v>0</v>
      </c>
      <c r="I135" s="271"/>
    </row>
    <row r="136" spans="1:9" ht="12.75">
      <c r="A136" t="s">
        <v>1117</v>
      </c>
      <c r="B136" s="270" t="s">
        <v>1157</v>
      </c>
      <c r="C136" s="72">
        <v>1</v>
      </c>
      <c r="D136" s="72" t="s">
        <v>1659</v>
      </c>
      <c r="E136" s="12">
        <v>256.06</v>
      </c>
      <c r="F136">
        <v>0.0868</v>
      </c>
      <c r="G136" s="248">
        <f>E136+(E136*F136)</f>
        <v>278.286008</v>
      </c>
      <c r="H136" s="215">
        <f>G136/C136</f>
        <v>278.286008</v>
      </c>
      <c r="I136" s="271" t="s">
        <v>1933</v>
      </c>
    </row>
    <row r="137" spans="2:9" ht="12.75">
      <c r="B137" s="270"/>
      <c r="D137" s="72"/>
      <c r="E137" s="12"/>
      <c r="G137" s="248"/>
      <c r="H137" s="215"/>
      <c r="I137" s="271"/>
    </row>
    <row r="138" spans="1:9" ht="12.75">
      <c r="A138" t="s">
        <v>175</v>
      </c>
      <c r="B138" s="348">
        <v>1150.31</v>
      </c>
      <c r="C138" s="72">
        <v>1</v>
      </c>
      <c r="D138" s="72" t="s">
        <v>1659</v>
      </c>
      <c r="E138" s="37">
        <v>1150.31</v>
      </c>
      <c r="F138">
        <v>0.0868</v>
      </c>
      <c r="G138" s="248">
        <f>E138+(E138*F138)</f>
        <v>1250.156908</v>
      </c>
      <c r="H138" s="215">
        <f>G138/C138</f>
        <v>1250.156908</v>
      </c>
      <c r="I138" t="s">
        <v>1934</v>
      </c>
    </row>
    <row r="139" spans="1:9" ht="12.75">
      <c r="A139" s="270" t="s">
        <v>1935</v>
      </c>
      <c r="B139" s="270" t="s">
        <v>1164</v>
      </c>
      <c r="C139" s="262">
        <v>1</v>
      </c>
      <c r="D139" s="72" t="s">
        <v>1659</v>
      </c>
      <c r="E139" s="350">
        <v>3000</v>
      </c>
      <c r="F139">
        <v>0.0868</v>
      </c>
      <c r="G139" s="248">
        <f>E139+(E139*F139)</f>
        <v>3260.4</v>
      </c>
      <c r="H139" s="215">
        <f>G139/C139</f>
        <v>3260.4</v>
      </c>
      <c r="I139" t="s">
        <v>1936</v>
      </c>
    </row>
    <row r="140" spans="1:9" ht="12.75">
      <c r="A140" t="s">
        <v>1937</v>
      </c>
      <c r="B140" s="348">
        <v>1768.35</v>
      </c>
      <c r="C140" s="262">
        <v>1</v>
      </c>
      <c r="D140" s="72" t="s">
        <v>1659</v>
      </c>
      <c r="E140" s="37">
        <v>1768.35</v>
      </c>
      <c r="F140">
        <v>0.0868</v>
      </c>
      <c r="G140" s="248">
        <f>E140+(E140*F140)</f>
        <v>1921.84278</v>
      </c>
      <c r="H140" s="215">
        <f>G140/C140</f>
        <v>1921.84278</v>
      </c>
      <c r="I140" t="s">
        <v>1938</v>
      </c>
    </row>
    <row r="141" spans="1:9" ht="12.75">
      <c r="A141" s="270" t="s">
        <v>1939</v>
      </c>
      <c r="B141" s="270" t="s">
        <v>1940</v>
      </c>
      <c r="C141" s="262">
        <v>1</v>
      </c>
      <c r="D141" s="72" t="s">
        <v>1659</v>
      </c>
      <c r="E141" s="350">
        <v>1548.05</v>
      </c>
      <c r="F141">
        <v>0.0868</v>
      </c>
      <c r="G141" s="248">
        <f>E141+(E141*F141)</f>
        <v>1682.42074</v>
      </c>
      <c r="H141" s="215">
        <f>G141/C141</f>
        <v>1682.42074</v>
      </c>
      <c r="I141" s="297" t="s">
        <v>1941</v>
      </c>
    </row>
    <row r="142" spans="1:9" ht="12.75">
      <c r="A142" t="s">
        <v>1942</v>
      </c>
      <c r="B142" s="348" t="s">
        <v>1943</v>
      </c>
      <c r="C142" s="262">
        <v>1</v>
      </c>
      <c r="D142" s="72" t="s">
        <v>1659</v>
      </c>
      <c r="E142" s="37">
        <v>442.71</v>
      </c>
      <c r="F142">
        <v>0.0868</v>
      </c>
      <c r="G142" s="248">
        <f>E142+(E142*F142)</f>
        <v>481.137228</v>
      </c>
      <c r="H142" s="215">
        <f>G142/C142</f>
        <v>481.137228</v>
      </c>
      <c r="I142" t="s">
        <v>1944</v>
      </c>
    </row>
    <row r="143" spans="1:9" ht="12.75">
      <c r="A143" t="s">
        <v>1945</v>
      </c>
      <c r="B143" s="290" t="s">
        <v>1946</v>
      </c>
      <c r="C143" s="72">
        <v>1</v>
      </c>
      <c r="D143" s="72" t="s">
        <v>1659</v>
      </c>
      <c r="E143" s="37">
        <v>36.48</v>
      </c>
      <c r="F143">
        <v>0.0868</v>
      </c>
      <c r="G143" s="248">
        <f>E143+(E143*F143)</f>
        <v>39.646463999999995</v>
      </c>
      <c r="H143" s="215">
        <f>G143/C143</f>
        <v>39.646463999999995</v>
      </c>
      <c r="I143" t="s">
        <v>1947</v>
      </c>
    </row>
    <row r="144" spans="1:9" ht="12.75">
      <c r="A144" t="s">
        <v>1948</v>
      </c>
      <c r="B144" s="348">
        <v>75.95</v>
      </c>
      <c r="C144" s="72">
        <v>1</v>
      </c>
      <c r="D144" s="72" t="s">
        <v>1659</v>
      </c>
      <c r="E144" s="37">
        <v>75.95</v>
      </c>
      <c r="F144">
        <v>0.0868</v>
      </c>
      <c r="G144" s="248">
        <f>E144+(E144*F144)</f>
        <v>82.54246</v>
      </c>
      <c r="H144" s="215">
        <f>G144/C144</f>
        <v>82.54246</v>
      </c>
      <c r="I144" s="297" t="s">
        <v>1949</v>
      </c>
    </row>
    <row r="145" spans="1:9" ht="12.75">
      <c r="A145" t="s">
        <v>1950</v>
      </c>
      <c r="B145" s="290" t="s">
        <v>1161</v>
      </c>
      <c r="C145" s="72">
        <v>1</v>
      </c>
      <c r="D145" s="72" t="s">
        <v>1659</v>
      </c>
      <c r="E145" s="37">
        <v>199</v>
      </c>
      <c r="F145">
        <v>0.0868</v>
      </c>
      <c r="G145" s="248">
        <f>E145+(E145*F145)</f>
        <v>216.2732</v>
      </c>
      <c r="H145" s="215">
        <f>G145/C145</f>
        <v>216.2732</v>
      </c>
      <c r="I145" s="297" t="s">
        <v>1951</v>
      </c>
    </row>
    <row r="146" spans="1:9" ht="12.75">
      <c r="A146" t="s">
        <v>1952</v>
      </c>
      <c r="B146" t="s">
        <v>1161</v>
      </c>
      <c r="C146" s="262">
        <v>1</v>
      </c>
      <c r="D146" s="72" t="s">
        <v>1659</v>
      </c>
      <c r="E146" s="350">
        <v>239</v>
      </c>
      <c r="F146">
        <v>0.0868</v>
      </c>
      <c r="G146" s="248">
        <f>E146+(E146*F146)</f>
        <v>259.7452</v>
      </c>
      <c r="H146" s="215">
        <f>G146/C146</f>
        <v>259.7452</v>
      </c>
      <c r="I146" s="297" t="s">
        <v>1953</v>
      </c>
    </row>
    <row r="147" spans="1:9" ht="12.75">
      <c r="A147" t="s">
        <v>1952</v>
      </c>
      <c r="B147" t="s">
        <v>1171</v>
      </c>
      <c r="C147" s="262">
        <v>1</v>
      </c>
      <c r="D147" s="72" t="s">
        <v>1659</v>
      </c>
      <c r="E147" s="350">
        <v>234</v>
      </c>
      <c r="F147">
        <v>0.0868</v>
      </c>
      <c r="G147" s="248">
        <f>E147+(E147*F147)</f>
        <v>254.31119999999999</v>
      </c>
      <c r="H147" s="215">
        <f>G147/C147</f>
        <v>254.31119999999999</v>
      </c>
      <c r="I147" s="297" t="s">
        <v>1953</v>
      </c>
    </row>
    <row r="148" spans="1:9" ht="12.75">
      <c r="A148" t="s">
        <v>1952</v>
      </c>
      <c r="B148" t="s">
        <v>1173</v>
      </c>
      <c r="C148" s="262">
        <v>1</v>
      </c>
      <c r="D148" s="72" t="s">
        <v>1659</v>
      </c>
      <c r="E148" s="350">
        <v>234</v>
      </c>
      <c r="F148">
        <v>0.0868</v>
      </c>
      <c r="G148" s="248">
        <f>E148+(E148*F148)</f>
        <v>254.31119999999999</v>
      </c>
      <c r="H148" s="215">
        <f>G148/C148</f>
        <v>254.31119999999999</v>
      </c>
      <c r="I148" s="297" t="s">
        <v>1953</v>
      </c>
    </row>
    <row r="149" spans="1:8" ht="12.75">
      <c r="A149" t="s">
        <v>1954</v>
      </c>
      <c r="C149" s="262"/>
      <c r="D149" s="72"/>
      <c r="E149" s="350"/>
      <c r="G149" s="248"/>
      <c r="H149" s="215"/>
    </row>
    <row r="150" spans="1:5" ht="12.75">
      <c r="A150" t="s">
        <v>1954</v>
      </c>
      <c r="C150"/>
      <c r="E150" s="12"/>
    </row>
    <row r="151" spans="1:9" ht="12.75">
      <c r="A151" t="s">
        <v>1955</v>
      </c>
      <c r="B151" t="s">
        <v>1956</v>
      </c>
      <c r="C151" s="262">
        <v>1</v>
      </c>
      <c r="D151" s="72" t="s">
        <v>1659</v>
      </c>
      <c r="E151" s="350">
        <v>128</v>
      </c>
      <c r="F151">
        <v>0.0868</v>
      </c>
      <c r="G151" s="248">
        <f>E151+(E151*F151)</f>
        <v>139.1104</v>
      </c>
      <c r="H151" s="215">
        <f>G151/C151</f>
        <v>139.1104</v>
      </c>
      <c r="I151" t="s">
        <v>1957</v>
      </c>
    </row>
    <row r="152" spans="1:9" ht="12.75">
      <c r="A152" t="s">
        <v>1958</v>
      </c>
      <c r="B152" t="s">
        <v>1959</v>
      </c>
      <c r="C152" s="262">
        <v>1</v>
      </c>
      <c r="D152" s="72" t="s">
        <v>1659</v>
      </c>
      <c r="E152" s="350">
        <v>128</v>
      </c>
      <c r="F152">
        <v>0.0868</v>
      </c>
      <c r="G152" s="248">
        <f>E152+(E152*F152)</f>
        <v>139.1104</v>
      </c>
      <c r="H152" s="215">
        <f>G152/C152</f>
        <v>139.1104</v>
      </c>
      <c r="I152" t="s">
        <v>1960</v>
      </c>
    </row>
    <row r="153" spans="1:9" ht="12.75">
      <c r="A153" t="s">
        <v>1958</v>
      </c>
      <c r="B153" t="s">
        <v>1956</v>
      </c>
      <c r="C153" s="262">
        <v>1</v>
      </c>
      <c r="D153" s="72" t="s">
        <v>1659</v>
      </c>
      <c r="E153" s="350">
        <v>128</v>
      </c>
      <c r="F153">
        <v>0.0868</v>
      </c>
      <c r="G153" s="248">
        <f>E153+(E153*F153)</f>
        <v>139.1104</v>
      </c>
      <c r="H153" s="215">
        <f>G153/C153</f>
        <v>139.1104</v>
      </c>
      <c r="I153" t="s">
        <v>1960</v>
      </c>
    </row>
    <row r="154" spans="1:9" ht="12.75">
      <c r="A154" t="s">
        <v>1958</v>
      </c>
      <c r="B154" t="s">
        <v>1173</v>
      </c>
      <c r="C154" s="262">
        <v>1</v>
      </c>
      <c r="D154" s="72" t="s">
        <v>1659</v>
      </c>
      <c r="E154" s="350">
        <v>119</v>
      </c>
      <c r="F154">
        <v>0.0868</v>
      </c>
      <c r="G154" s="248">
        <f>E154+(E154*F154)</f>
        <v>129.32920000000001</v>
      </c>
      <c r="H154" s="215">
        <f>G154/C154</f>
        <v>129.32920000000001</v>
      </c>
      <c r="I154" t="s">
        <v>1960</v>
      </c>
    </row>
    <row r="155" spans="1:9" ht="12.75">
      <c r="A155" t="s">
        <v>1958</v>
      </c>
      <c r="B155" t="s">
        <v>1171</v>
      </c>
      <c r="C155" s="262">
        <v>1</v>
      </c>
      <c r="D155" s="72" t="s">
        <v>1659</v>
      </c>
      <c r="E155" s="350">
        <v>114</v>
      </c>
      <c r="F155">
        <v>0.0868</v>
      </c>
      <c r="G155" s="248">
        <f>E155+(E155*F155)</f>
        <v>123.8952</v>
      </c>
      <c r="H155" s="215">
        <f>G155/C155</f>
        <v>123.8952</v>
      </c>
      <c r="I155" t="s">
        <v>1960</v>
      </c>
    </row>
    <row r="156" spans="1:9" ht="12.75">
      <c r="A156" t="s">
        <v>1958</v>
      </c>
      <c r="B156" t="s">
        <v>1161</v>
      </c>
      <c r="C156" s="262">
        <v>1</v>
      </c>
      <c r="D156" s="72" t="s">
        <v>1659</v>
      </c>
      <c r="E156" s="350">
        <v>118</v>
      </c>
      <c r="F156">
        <v>0.0868</v>
      </c>
      <c r="G156" s="248">
        <f>E156+(E156*F156)</f>
        <v>128.2424</v>
      </c>
      <c r="H156" s="215">
        <f>G156/C156</f>
        <v>128.2424</v>
      </c>
      <c r="I156" t="s">
        <v>1960</v>
      </c>
    </row>
    <row r="157" spans="1:9" ht="12.75">
      <c r="A157" t="s">
        <v>1961</v>
      </c>
      <c r="B157" t="s">
        <v>1962</v>
      </c>
      <c r="C157" s="262">
        <v>1</v>
      </c>
      <c r="D157" s="72" t="s">
        <v>1659</v>
      </c>
      <c r="E157" s="350">
        <v>83</v>
      </c>
      <c r="F157">
        <v>0.0868</v>
      </c>
      <c r="G157" s="248">
        <f>E157+(E157*F157)</f>
        <v>90.2044</v>
      </c>
      <c r="H157" s="215">
        <f>G157/C157</f>
        <v>90.2044</v>
      </c>
      <c r="I157" t="s">
        <v>1963</v>
      </c>
    </row>
    <row r="158" spans="1:9" ht="12.75">
      <c r="A158" t="s">
        <v>1964</v>
      </c>
      <c r="B158" t="s">
        <v>1940</v>
      </c>
      <c r="C158" s="262">
        <v>1</v>
      </c>
      <c r="D158" s="72" t="s">
        <v>1659</v>
      </c>
      <c r="E158" s="350">
        <v>618.93</v>
      </c>
      <c r="F158">
        <v>0.0868</v>
      </c>
      <c r="G158" s="248">
        <f>E158+(E158*F158)</f>
        <v>672.6531239999999</v>
      </c>
      <c r="H158" s="215">
        <f>G158/C158</f>
        <v>672.6531239999999</v>
      </c>
      <c r="I158" t="s">
        <v>1965</v>
      </c>
    </row>
    <row r="159" spans="1:9" ht="12.75">
      <c r="A159" t="s">
        <v>1966</v>
      </c>
      <c r="B159" t="s">
        <v>1959</v>
      </c>
      <c r="C159" s="262">
        <v>1</v>
      </c>
      <c r="D159" s="72" t="s">
        <v>1659</v>
      </c>
      <c r="E159" s="350">
        <v>189</v>
      </c>
      <c r="F159">
        <v>0.0868</v>
      </c>
      <c r="G159" s="248">
        <f>E159+(E159*F159)</f>
        <v>205.4052</v>
      </c>
      <c r="H159" s="215">
        <f>G159/C159</f>
        <v>205.4052</v>
      </c>
      <c r="I159" t="s">
        <v>1967</v>
      </c>
    </row>
    <row r="160" spans="1:9" ht="12.75">
      <c r="A160" t="s">
        <v>1966</v>
      </c>
      <c r="B160" t="s">
        <v>1161</v>
      </c>
      <c r="C160" s="262">
        <v>1</v>
      </c>
      <c r="D160" s="72" t="s">
        <v>1659</v>
      </c>
      <c r="E160" s="350">
        <v>209</v>
      </c>
      <c r="F160">
        <v>0.0868</v>
      </c>
      <c r="G160" s="248">
        <f>E160+(E160*F160)</f>
        <v>227.1412</v>
      </c>
      <c r="H160" s="215">
        <f>G160/C160</f>
        <v>227.1412</v>
      </c>
      <c r="I160" t="s">
        <v>1967</v>
      </c>
    </row>
    <row r="161" spans="1:9" ht="12.75">
      <c r="A161" t="s">
        <v>1968</v>
      </c>
      <c r="B161" s="337">
        <v>1100</v>
      </c>
      <c r="C161" s="72">
        <v>1</v>
      </c>
      <c r="D161" s="72" t="s">
        <v>1659</v>
      </c>
      <c r="E161" s="12">
        <v>1100</v>
      </c>
      <c r="F161">
        <v>0.0868</v>
      </c>
      <c r="G161" s="248">
        <f>E161+(E161*F161)</f>
        <v>1195.48</v>
      </c>
      <c r="H161" s="215">
        <f>G161/C161</f>
        <v>1195.48</v>
      </c>
      <c r="I161" t="s">
        <v>1969</v>
      </c>
    </row>
    <row r="162" spans="1:9" ht="12.75">
      <c r="A162" t="s">
        <v>1970</v>
      </c>
      <c r="B162" s="337">
        <v>1009</v>
      </c>
      <c r="C162" s="72">
        <v>1</v>
      </c>
      <c r="D162" s="72" t="s">
        <v>1659</v>
      </c>
      <c r="E162" s="12">
        <v>1009</v>
      </c>
      <c r="F162">
        <v>0.0868</v>
      </c>
      <c r="G162" s="248">
        <f>E162+(E162*F162)</f>
        <v>1096.5812</v>
      </c>
      <c r="H162" s="215">
        <f>G162/C162</f>
        <v>1096.5812</v>
      </c>
      <c r="I162" t="s">
        <v>1971</v>
      </c>
    </row>
    <row r="163" spans="1:9" ht="12.75">
      <c r="A163" t="s">
        <v>1972</v>
      </c>
      <c r="B163" s="337">
        <v>774</v>
      </c>
      <c r="C163" s="72">
        <v>1</v>
      </c>
      <c r="D163" s="72" t="s">
        <v>1659</v>
      </c>
      <c r="E163" s="12">
        <v>774</v>
      </c>
      <c r="F163">
        <v>0.0868</v>
      </c>
      <c r="G163" s="248">
        <f>E163+(E163*F163)</f>
        <v>841.1831999999999</v>
      </c>
      <c r="H163" s="215">
        <f>G163/C163</f>
        <v>841.1831999999999</v>
      </c>
      <c r="I163" t="s">
        <v>1973</v>
      </c>
    </row>
    <row r="164" spans="1:9" ht="12.75">
      <c r="A164" t="s">
        <v>1974</v>
      </c>
      <c r="B164" s="337">
        <v>1000</v>
      </c>
      <c r="C164" s="72">
        <v>1</v>
      </c>
      <c r="D164" s="72" t="s">
        <v>1659</v>
      </c>
      <c r="E164" s="12">
        <v>1000</v>
      </c>
      <c r="F164">
        <v>0.0868</v>
      </c>
      <c r="G164" s="248">
        <f>E164+(E164*F164)</f>
        <v>1086.8</v>
      </c>
      <c r="H164" s="215">
        <f>G164/C164</f>
        <v>1086.8</v>
      </c>
      <c r="I164" s="297" t="s">
        <v>1975</v>
      </c>
    </row>
    <row r="165" spans="1:9" ht="12.75">
      <c r="A165" t="s">
        <v>1976</v>
      </c>
      <c r="B165" s="337">
        <v>1034</v>
      </c>
      <c r="C165" s="72">
        <v>1</v>
      </c>
      <c r="D165" s="72" t="s">
        <v>1659</v>
      </c>
      <c r="E165" s="12">
        <v>1034</v>
      </c>
      <c r="F165">
        <v>0.0868</v>
      </c>
      <c r="G165" s="248">
        <f>E165+(E165*F165)</f>
        <v>1123.7512</v>
      </c>
      <c r="H165" s="215">
        <f>G165/C165</f>
        <v>1123.7512</v>
      </c>
      <c r="I165" s="297" t="s">
        <v>1977</v>
      </c>
    </row>
    <row r="166" spans="1:9" ht="12.75">
      <c r="A166" t="s">
        <v>1193</v>
      </c>
      <c r="B166" s="337">
        <v>244</v>
      </c>
      <c r="C166" s="72">
        <v>1</v>
      </c>
      <c r="D166" s="72" t="s">
        <v>1659</v>
      </c>
      <c r="E166" s="12">
        <v>244</v>
      </c>
      <c r="F166">
        <v>0.0868</v>
      </c>
      <c r="G166" s="248">
        <f>E166+(E166*F166)</f>
        <v>265.1792</v>
      </c>
      <c r="H166" s="215">
        <f>G166/C166</f>
        <v>265.1792</v>
      </c>
      <c r="I166" t="s">
        <v>1978</v>
      </c>
    </row>
    <row r="167" spans="1:9" ht="12.75">
      <c r="A167" t="s">
        <v>1979</v>
      </c>
      <c r="B167" s="337">
        <v>16.32</v>
      </c>
      <c r="C167" s="72">
        <v>1</v>
      </c>
      <c r="D167" s="72" t="s">
        <v>1659</v>
      </c>
      <c r="E167" s="12">
        <v>16.32</v>
      </c>
      <c r="F167">
        <v>0.0868</v>
      </c>
      <c r="G167" s="248">
        <f>E167+(E167*F167)</f>
        <v>17.736576</v>
      </c>
      <c r="H167" s="215">
        <f>G167/C167</f>
        <v>17.736576</v>
      </c>
      <c r="I167" s="297" t="s">
        <v>1980</v>
      </c>
    </row>
    <row r="168" spans="1:9" ht="12.75">
      <c r="A168" t="s">
        <v>1981</v>
      </c>
      <c r="B168" s="337">
        <v>14.78</v>
      </c>
      <c r="C168" s="72">
        <v>1</v>
      </c>
      <c r="D168" s="72" t="s">
        <v>1659</v>
      </c>
      <c r="E168" s="12">
        <v>14.78</v>
      </c>
      <c r="F168">
        <v>0.0868</v>
      </c>
      <c r="G168" s="248">
        <f>E168+(E168*F168)</f>
        <v>16.062904</v>
      </c>
      <c r="H168" s="215">
        <f>G168/C168</f>
        <v>16.062904</v>
      </c>
      <c r="I168" t="s">
        <v>1982</v>
      </c>
    </row>
    <row r="169" spans="1:9" ht="12.75">
      <c r="A169" t="s">
        <v>1983</v>
      </c>
      <c r="B169" s="337">
        <v>49.92</v>
      </c>
      <c r="C169" s="72">
        <v>1</v>
      </c>
      <c r="D169" s="72" t="s">
        <v>1659</v>
      </c>
      <c r="E169" s="12">
        <v>49.92</v>
      </c>
      <c r="F169">
        <v>0.0868</v>
      </c>
      <c r="G169" s="248">
        <f>E169+(E169*F169)</f>
        <v>54.253056</v>
      </c>
      <c r="H169" s="215">
        <f>G169/C169</f>
        <v>54.253056</v>
      </c>
      <c r="I169" t="s">
        <v>1984</v>
      </c>
    </row>
    <row r="170" spans="4:9" ht="12.75">
      <c r="D170" s="72"/>
      <c r="E170" s="12"/>
      <c r="G170" s="248"/>
      <c r="H170" s="215"/>
      <c r="I170" s="351" t="s">
        <v>1984</v>
      </c>
    </row>
    <row r="171" spans="1:9" ht="12.75">
      <c r="A171" t="s">
        <v>1985</v>
      </c>
      <c r="B171" t="s">
        <v>1986</v>
      </c>
      <c r="C171" s="72">
        <f>16*3</f>
        <v>48</v>
      </c>
      <c r="D171" s="72" t="s">
        <v>588</v>
      </c>
      <c r="E171" s="12">
        <v>45.98</v>
      </c>
      <c r="F171">
        <v>0.0868</v>
      </c>
      <c r="G171" s="248">
        <f>E171+(E171*F171)</f>
        <v>49.971064</v>
      </c>
      <c r="H171" s="215">
        <f>G171/C171</f>
        <v>1.0410638333333333</v>
      </c>
      <c r="I171" t="s">
        <v>1987</v>
      </c>
    </row>
    <row r="172" spans="1:9" ht="12.75">
      <c r="A172" t="s">
        <v>940</v>
      </c>
      <c r="B172" t="s">
        <v>1988</v>
      </c>
      <c r="C172" s="72">
        <f>10*10</f>
        <v>100</v>
      </c>
      <c r="D172" s="72" t="s">
        <v>588</v>
      </c>
      <c r="E172" s="12">
        <v>175</v>
      </c>
      <c r="F172">
        <v>0.0868</v>
      </c>
      <c r="G172" s="248">
        <f>E172+(E172*F172)</f>
        <v>190.19</v>
      </c>
      <c r="H172" s="215">
        <f>G172/C172</f>
        <v>1.9019</v>
      </c>
      <c r="I172" t="s">
        <v>1989</v>
      </c>
    </row>
    <row r="173" spans="1:9" ht="12.75">
      <c r="A173" t="s">
        <v>1990</v>
      </c>
      <c r="B173" t="s">
        <v>1991</v>
      </c>
      <c r="C173" s="72">
        <v>10</v>
      </c>
      <c r="D173" s="72" t="s">
        <v>1206</v>
      </c>
      <c r="E173" s="12">
        <v>8.31</v>
      </c>
      <c r="F173">
        <v>0.0868</v>
      </c>
      <c r="G173" s="248">
        <f>E173+(E173*F173)</f>
        <v>9.031308000000001</v>
      </c>
      <c r="H173" s="215">
        <f>G173/C173</f>
        <v>0.9031308000000001</v>
      </c>
      <c r="I173" t="s">
        <v>1992</v>
      </c>
    </row>
    <row r="174" spans="1:9" ht="12.75">
      <c r="A174" t="s">
        <v>1993</v>
      </c>
      <c r="B174" t="s">
        <v>1994</v>
      </c>
      <c r="C174" s="72">
        <v>100</v>
      </c>
      <c r="D174" s="72" t="s">
        <v>1995</v>
      </c>
      <c r="E174" s="12">
        <v>9.68</v>
      </c>
      <c r="F174">
        <v>0.0868</v>
      </c>
      <c r="G174" s="248">
        <f>E174+(E174*F174)</f>
        <v>10.520223999999999</v>
      </c>
      <c r="H174" s="215">
        <f>G174/C174</f>
        <v>0.10520223999999999</v>
      </c>
      <c r="I174" t="s">
        <v>1996</v>
      </c>
    </row>
    <row r="175" spans="1:9" ht="12.75">
      <c r="A175" t="s">
        <v>1997</v>
      </c>
      <c r="B175" t="s">
        <v>1998</v>
      </c>
      <c r="C175" s="72">
        <f>4*250</f>
        <v>1000</v>
      </c>
      <c r="D175" s="72" t="s">
        <v>588</v>
      </c>
      <c r="E175" s="12">
        <v>171.98</v>
      </c>
      <c r="F175">
        <v>0.0868</v>
      </c>
      <c r="G175" s="248">
        <f>E175+(E175*F175)</f>
        <v>186.907864</v>
      </c>
      <c r="H175" s="215">
        <f>G175/C175</f>
        <v>0.18690786399999998</v>
      </c>
      <c r="I175" t="s">
        <v>1999</v>
      </c>
    </row>
    <row r="176" spans="1:9" ht="12.75">
      <c r="A176" t="s">
        <v>2000</v>
      </c>
      <c r="B176" t="s">
        <v>2001</v>
      </c>
      <c r="C176" s="72">
        <f>225</f>
        <v>225</v>
      </c>
      <c r="D176" s="72" t="s">
        <v>588</v>
      </c>
      <c r="E176" s="12">
        <v>178.1</v>
      </c>
      <c r="F176">
        <v>0.0868</v>
      </c>
      <c r="G176" s="248">
        <f>E176+(E176*F176)</f>
        <v>193.55908</v>
      </c>
      <c r="H176" s="215">
        <f>G176/C176</f>
        <v>0.8602625777777777</v>
      </c>
      <c r="I176" t="s">
        <v>2002</v>
      </c>
    </row>
    <row r="177" spans="1:9" ht="12.75">
      <c r="A177" t="s">
        <v>2003</v>
      </c>
      <c r="B177" t="s">
        <v>2004</v>
      </c>
      <c r="C177" s="72">
        <f>4*8</f>
        <v>32</v>
      </c>
      <c r="D177" s="72" t="s">
        <v>588</v>
      </c>
      <c r="E177" s="12">
        <v>9.98</v>
      </c>
      <c r="F177">
        <v>0.0868</v>
      </c>
      <c r="G177" s="248">
        <f>E177+(E177*F177)</f>
        <v>10.846264</v>
      </c>
      <c r="H177" s="215">
        <f>G177/C177</f>
        <v>0.33894575</v>
      </c>
      <c r="I177" t="s">
        <v>2005</v>
      </c>
    </row>
    <row r="178" spans="1:9" ht="12.75">
      <c r="A178" t="s">
        <v>2006</v>
      </c>
      <c r="B178" t="s">
        <v>2007</v>
      </c>
      <c r="C178" s="72">
        <f>4*8</f>
        <v>32</v>
      </c>
      <c r="D178" s="72" t="s">
        <v>588</v>
      </c>
      <c r="E178" s="12">
        <v>10.68</v>
      </c>
      <c r="F178">
        <v>0.0868</v>
      </c>
      <c r="G178" s="248">
        <f>E178+(E178*F178)</f>
        <v>11.607024</v>
      </c>
      <c r="H178" s="215">
        <f>G178/C178</f>
        <v>0.3627195</v>
      </c>
      <c r="I178" t="s">
        <v>2008</v>
      </c>
    </row>
    <row r="179" spans="1:9" ht="12.75">
      <c r="A179" t="s">
        <v>2009</v>
      </c>
      <c r="B179" t="s">
        <v>2010</v>
      </c>
      <c r="C179" s="72">
        <v>300</v>
      </c>
      <c r="D179" s="72" t="s">
        <v>588</v>
      </c>
      <c r="E179" s="66">
        <v>13.98</v>
      </c>
      <c r="F179">
        <v>0.0868</v>
      </c>
      <c r="G179" s="248">
        <f>E179+(E179*F179)</f>
        <v>15.193464</v>
      </c>
      <c r="H179" s="215">
        <f>G179/C179</f>
        <v>0.05064488</v>
      </c>
      <c r="I179" t="s">
        <v>2011</v>
      </c>
    </row>
    <row r="180" spans="1:9" ht="12.75">
      <c r="A180" t="s">
        <v>1233</v>
      </c>
      <c r="B180" t="s">
        <v>2012</v>
      </c>
      <c r="C180" s="72">
        <v>400</v>
      </c>
      <c r="D180" s="72" t="s">
        <v>588</v>
      </c>
      <c r="E180" s="12">
        <v>32.98</v>
      </c>
      <c r="F180">
        <v>0.0868</v>
      </c>
      <c r="G180" s="248">
        <f>E180+(E180*F180)</f>
        <v>35.842664</v>
      </c>
      <c r="H180" s="215">
        <f>G180/C180</f>
        <v>0.08960666</v>
      </c>
      <c r="I180" t="s">
        <v>2013</v>
      </c>
    </row>
    <row r="181" spans="1:8" ht="12.75">
      <c r="A181" t="s">
        <v>2014</v>
      </c>
      <c r="B181" t="s">
        <v>2015</v>
      </c>
      <c r="C181" s="72">
        <v>1</v>
      </c>
      <c r="D181" s="72" t="s">
        <v>588</v>
      </c>
      <c r="E181" s="12">
        <v>4</v>
      </c>
      <c r="F181">
        <v>0.0868</v>
      </c>
      <c r="G181" s="248">
        <f>E181+(E181*F181)</f>
        <v>4.3472</v>
      </c>
      <c r="H181" s="215">
        <f>G181/C181</f>
        <v>4.3472</v>
      </c>
    </row>
    <row r="182" spans="1:9" ht="12.75">
      <c r="A182" t="s">
        <v>2016</v>
      </c>
      <c r="B182" t="s">
        <v>2017</v>
      </c>
      <c r="C182" s="72">
        <v>1</v>
      </c>
      <c r="D182" s="72" t="s">
        <v>588</v>
      </c>
      <c r="E182" s="12">
        <v>5.49</v>
      </c>
      <c r="F182">
        <v>0.0868</v>
      </c>
      <c r="G182" s="248">
        <f>E182+(E182*F182)</f>
        <v>5.966532</v>
      </c>
      <c r="H182" s="215">
        <f>G182/C182</f>
        <v>5.966532</v>
      </c>
      <c r="I182" s="297" t="s">
        <v>2018</v>
      </c>
    </row>
    <row r="183" spans="1:9" ht="12.75">
      <c r="A183" t="s">
        <v>2019</v>
      </c>
      <c r="B183" t="s">
        <v>2020</v>
      </c>
      <c r="C183" s="72">
        <v>1</v>
      </c>
      <c r="D183" s="72" t="s">
        <v>588</v>
      </c>
      <c r="E183" s="12">
        <v>3.29</v>
      </c>
      <c r="F183">
        <v>0.0868</v>
      </c>
      <c r="G183" s="248">
        <f>E183+(E183*F183)</f>
        <v>3.575572</v>
      </c>
      <c r="H183" s="215">
        <f>G183/C183</f>
        <v>3.575572</v>
      </c>
      <c r="I183" s="297" t="s">
        <v>2021</v>
      </c>
    </row>
    <row r="184" spans="1:9" ht="12.75">
      <c r="A184" t="s">
        <v>2022</v>
      </c>
      <c r="B184" t="s">
        <v>2023</v>
      </c>
      <c r="C184" s="72">
        <v>1</v>
      </c>
      <c r="D184" s="72" t="s">
        <v>588</v>
      </c>
      <c r="E184" s="12">
        <v>3</v>
      </c>
      <c r="F184">
        <v>0.0868</v>
      </c>
      <c r="G184" s="248">
        <f>E184+(E184*F184)</f>
        <v>3.2604</v>
      </c>
      <c r="H184" s="215">
        <f>G184/C184</f>
        <v>3.2604</v>
      </c>
      <c r="I184" t="s">
        <v>2024</v>
      </c>
    </row>
    <row r="185" spans="1:9" ht="12.75">
      <c r="A185" t="s">
        <v>2025</v>
      </c>
      <c r="B185" t="s">
        <v>2026</v>
      </c>
      <c r="C185" s="72">
        <f>4*8</f>
        <v>32</v>
      </c>
      <c r="D185" s="72" t="s">
        <v>588</v>
      </c>
      <c r="E185" s="12">
        <v>21.97</v>
      </c>
      <c r="F185">
        <v>0.0868</v>
      </c>
      <c r="G185" s="248">
        <f>E185+(E185*F185)</f>
        <v>23.876996</v>
      </c>
      <c r="H185" s="215">
        <f>G185/C185</f>
        <v>0.746156125</v>
      </c>
      <c r="I185" t="s">
        <v>2027</v>
      </c>
    </row>
    <row r="186" spans="1:9" ht="12.75">
      <c r="A186" t="s">
        <v>2028</v>
      </c>
      <c r="B186" t="s">
        <v>2029</v>
      </c>
      <c r="C186" s="72">
        <v>100</v>
      </c>
      <c r="D186" s="72" t="s">
        <v>588</v>
      </c>
      <c r="E186" s="12">
        <v>14.47</v>
      </c>
      <c r="F186">
        <v>0.0868</v>
      </c>
      <c r="G186" s="248">
        <f>E186+(E186*F186)</f>
        <v>15.725996</v>
      </c>
      <c r="H186" s="215">
        <f>G186/C186</f>
        <v>0.15725996</v>
      </c>
      <c r="I186" s="297" t="s">
        <v>2030</v>
      </c>
    </row>
    <row r="187" spans="1:9" ht="12.75">
      <c r="A187" t="s">
        <v>2031</v>
      </c>
      <c r="B187" t="s">
        <v>2032</v>
      </c>
      <c r="C187" s="72">
        <v>150</v>
      </c>
      <c r="D187" s="72" t="s">
        <v>588</v>
      </c>
      <c r="E187" s="12">
        <v>9.97</v>
      </c>
      <c r="F187">
        <v>0.0868</v>
      </c>
      <c r="G187" s="248">
        <f>E187+(E187*F187)</f>
        <v>10.835396000000001</v>
      </c>
      <c r="H187" s="215">
        <f>G187/C187</f>
        <v>0.07223597333333334</v>
      </c>
      <c r="I187" s="297" t="s">
        <v>2033</v>
      </c>
    </row>
    <row r="188" spans="1:9" ht="12.75">
      <c r="A188" t="s">
        <v>1052</v>
      </c>
      <c r="B188" t="s">
        <v>2034</v>
      </c>
      <c r="C188" s="72">
        <v>1</v>
      </c>
      <c r="D188" s="72" t="s">
        <v>1659</v>
      </c>
      <c r="E188" s="12">
        <f>4.47/250</f>
        <v>0.01788</v>
      </c>
      <c r="F188">
        <v>0.0868</v>
      </c>
      <c r="G188" s="248">
        <f>E188+(E188*F188)</f>
        <v>0.019431984</v>
      </c>
      <c r="H188" s="215">
        <f>G188/C188</f>
        <v>0.019431984</v>
      </c>
      <c r="I188" t="s">
        <v>2035</v>
      </c>
    </row>
    <row r="189" spans="1:9" ht="12.75">
      <c r="A189" t="s">
        <v>1008</v>
      </c>
      <c r="B189" s="352">
        <v>4.68</v>
      </c>
      <c r="C189" s="72">
        <v>1</v>
      </c>
      <c r="D189" s="72" t="s">
        <v>588</v>
      </c>
      <c r="E189" s="12">
        <v>4.68</v>
      </c>
      <c r="F189">
        <v>0.0868</v>
      </c>
      <c r="G189" s="248">
        <f>E189+(E189*F189)</f>
        <v>5.086224</v>
      </c>
      <c r="H189" s="215">
        <f>G189/C189</f>
        <v>5.086224</v>
      </c>
      <c r="I189" t="s">
        <v>2036</v>
      </c>
    </row>
    <row r="190" spans="1:9" ht="12.75">
      <c r="A190" t="s">
        <v>2037</v>
      </c>
      <c r="B190" s="352">
        <v>1.21</v>
      </c>
      <c r="C190" s="72">
        <v>1</v>
      </c>
      <c r="D190" s="72" t="s">
        <v>588</v>
      </c>
      <c r="E190" s="12">
        <v>1.28</v>
      </c>
      <c r="F190">
        <v>0.0868</v>
      </c>
      <c r="G190" s="248">
        <f>E190+(E190*F190)</f>
        <v>1.3911040000000001</v>
      </c>
      <c r="H190" s="215">
        <f>G190/C190</f>
        <v>1.3911040000000001</v>
      </c>
      <c r="I190" t="s">
        <v>2038</v>
      </c>
    </row>
    <row r="191" spans="1:9" ht="12.75">
      <c r="A191" t="s">
        <v>1104</v>
      </c>
      <c r="B191" s="352">
        <v>0.89</v>
      </c>
      <c r="C191" s="72">
        <v>1</v>
      </c>
      <c r="D191" s="72" t="s">
        <v>588</v>
      </c>
      <c r="E191" s="12">
        <v>0.89</v>
      </c>
      <c r="F191">
        <v>0.0868</v>
      </c>
      <c r="G191" s="248">
        <f>E191+(E191*F191)</f>
        <v>0.967252</v>
      </c>
      <c r="H191" s="215">
        <f>G191/C191</f>
        <v>0.967252</v>
      </c>
      <c r="I191" s="297" t="s">
        <v>2039</v>
      </c>
    </row>
    <row r="192" spans="1:9" ht="12.75">
      <c r="A192" t="s">
        <v>1108</v>
      </c>
      <c r="B192" t="s">
        <v>2040</v>
      </c>
      <c r="C192" s="72">
        <v>400</v>
      </c>
      <c r="D192" s="72" t="s">
        <v>588</v>
      </c>
      <c r="E192" s="12">
        <v>19.99</v>
      </c>
      <c r="F192">
        <v>0.0868</v>
      </c>
      <c r="G192" s="248">
        <f>E192+(E192*F192)</f>
        <v>21.725132</v>
      </c>
      <c r="H192" s="215">
        <f>G192/C192</f>
        <v>0.05431283</v>
      </c>
      <c r="I192" s="297" t="s">
        <v>2041</v>
      </c>
    </row>
    <row r="193" spans="1:9" ht="12.75">
      <c r="A193" t="s">
        <v>1055</v>
      </c>
      <c r="B193" t="s">
        <v>2042</v>
      </c>
      <c r="C193" s="72">
        <v>1</v>
      </c>
      <c r="D193" s="72" t="s">
        <v>1206</v>
      </c>
      <c r="E193" s="12">
        <f>1.98/250</f>
        <v>0.00792</v>
      </c>
      <c r="F193">
        <v>0.0868</v>
      </c>
      <c r="G193" s="248">
        <f>E193+(E193*F193)</f>
        <v>0.008607456</v>
      </c>
      <c r="H193" s="215">
        <f>G193/C193</f>
        <v>0.008607456</v>
      </c>
      <c r="I193" t="s">
        <v>2043</v>
      </c>
    </row>
    <row r="194" spans="1:9" ht="12.75">
      <c r="A194" t="s">
        <v>1058</v>
      </c>
      <c r="B194" t="s">
        <v>2044</v>
      </c>
      <c r="C194" s="72">
        <v>1</v>
      </c>
      <c r="D194" s="72" t="s">
        <v>1995</v>
      </c>
      <c r="E194" s="12">
        <v>7.45</v>
      </c>
      <c r="F194">
        <v>0.0868</v>
      </c>
      <c r="G194" s="248">
        <f>E194+(E194*F194)</f>
        <v>8.09666</v>
      </c>
      <c r="H194" s="215">
        <f>G194/C194</f>
        <v>8.09666</v>
      </c>
      <c r="I194" t="s">
        <v>2045</v>
      </c>
    </row>
    <row r="195" spans="1:9" ht="12.75">
      <c r="A195" t="s">
        <v>197</v>
      </c>
      <c r="B195" s="348">
        <v>491</v>
      </c>
      <c r="C195" s="72">
        <v>1</v>
      </c>
      <c r="D195" s="72" t="s">
        <v>1659</v>
      </c>
      <c r="E195" s="12">
        <v>491</v>
      </c>
      <c r="F195">
        <v>0.0868</v>
      </c>
      <c r="G195" s="248">
        <f>E195+(E195*F195)</f>
        <v>533.6188</v>
      </c>
      <c r="H195" s="215">
        <f>G195/C195</f>
        <v>533.6188</v>
      </c>
      <c r="I195" t="s">
        <v>2046</v>
      </c>
    </row>
    <row r="196" spans="1:9" ht="12.75">
      <c r="A196" t="s">
        <v>199</v>
      </c>
      <c r="B196" s="348">
        <v>600</v>
      </c>
      <c r="C196" s="72">
        <v>1</v>
      </c>
      <c r="D196" s="72" t="s">
        <v>1659</v>
      </c>
      <c r="E196" s="12">
        <v>600</v>
      </c>
      <c r="F196">
        <v>0.0868</v>
      </c>
      <c r="G196" s="248">
        <f>E196+(E196*F196)</f>
        <v>652.08</v>
      </c>
      <c r="H196" s="215">
        <f>G196/C196</f>
        <v>652.08</v>
      </c>
      <c r="I196" t="s">
        <v>2047</v>
      </c>
    </row>
    <row r="197" spans="1:9" ht="12.75">
      <c r="A197" t="s">
        <v>201</v>
      </c>
      <c r="B197" s="348">
        <v>290</v>
      </c>
      <c r="C197" s="72">
        <v>1</v>
      </c>
      <c r="D197" s="72" t="s">
        <v>1659</v>
      </c>
      <c r="E197" s="12">
        <v>290</v>
      </c>
      <c r="F197">
        <v>0.0868</v>
      </c>
      <c r="G197" s="248">
        <f>E197+(E197*F197)</f>
        <v>315.172</v>
      </c>
      <c r="H197" s="215">
        <f>G197/C197</f>
        <v>315.172</v>
      </c>
      <c r="I197" t="s">
        <v>2048</v>
      </c>
    </row>
    <row r="198" spans="1:9" ht="12.75">
      <c r="A198" t="s">
        <v>203</v>
      </c>
      <c r="B198" s="348">
        <v>563</v>
      </c>
      <c r="C198" s="72">
        <v>1</v>
      </c>
      <c r="D198" s="72" t="s">
        <v>1659</v>
      </c>
      <c r="E198" s="12">
        <v>563</v>
      </c>
      <c r="F198">
        <v>0.0868</v>
      </c>
      <c r="G198" s="248">
        <f>E198+(E198*F198)</f>
        <v>611.8684</v>
      </c>
      <c r="H198" s="215">
        <f>G198/C198</f>
        <v>611.8684</v>
      </c>
      <c r="I198" t="s">
        <v>2049</v>
      </c>
    </row>
    <row r="199" spans="1:9" ht="12.75">
      <c r="A199" t="s">
        <v>2050</v>
      </c>
      <c r="B199" s="348">
        <v>168</v>
      </c>
      <c r="C199" s="72">
        <v>1</v>
      </c>
      <c r="D199" s="72" t="s">
        <v>1659</v>
      </c>
      <c r="E199" s="12">
        <v>168</v>
      </c>
      <c r="F199">
        <v>0.0868</v>
      </c>
      <c r="G199" s="248">
        <f>E199+(E199*F199)</f>
        <v>182.5824</v>
      </c>
      <c r="H199" s="215">
        <f>G199/C199</f>
        <v>182.5824</v>
      </c>
      <c r="I199" t="s">
        <v>2051</v>
      </c>
    </row>
    <row r="200" spans="1:9" ht="12.75">
      <c r="A200" t="s">
        <v>2052</v>
      </c>
      <c r="B200" s="348">
        <v>811</v>
      </c>
      <c r="C200" s="72">
        <v>1</v>
      </c>
      <c r="D200" s="72" t="s">
        <v>1659</v>
      </c>
      <c r="E200" s="12">
        <v>811</v>
      </c>
      <c r="F200">
        <v>0.0868</v>
      </c>
      <c r="G200" s="248">
        <f>E200+(E200*F200)</f>
        <v>881.3948</v>
      </c>
      <c r="H200" s="215">
        <f>G200/C200</f>
        <v>881.3948</v>
      </c>
      <c r="I200" t="s">
        <v>2053</v>
      </c>
    </row>
    <row r="201" spans="1:9" ht="12.75">
      <c r="A201" t="s">
        <v>2054</v>
      </c>
      <c r="B201" s="348">
        <v>387</v>
      </c>
      <c r="C201" s="72">
        <v>1</v>
      </c>
      <c r="D201" s="72" t="s">
        <v>1659</v>
      </c>
      <c r="E201" s="12">
        <v>387</v>
      </c>
      <c r="F201">
        <v>0.0868</v>
      </c>
      <c r="G201" s="248">
        <f>E201+(E201*F201)</f>
        <v>420.59159999999997</v>
      </c>
      <c r="H201" s="215">
        <f>G201/C201</f>
        <v>420.59159999999997</v>
      </c>
      <c r="I201" t="s">
        <v>2055</v>
      </c>
    </row>
    <row r="202" spans="1:9" ht="12.75">
      <c r="A202" t="s">
        <v>2056</v>
      </c>
      <c r="B202" s="348">
        <v>582</v>
      </c>
      <c r="C202" s="72">
        <v>1</v>
      </c>
      <c r="D202" s="72" t="s">
        <v>1659</v>
      </c>
      <c r="E202" s="12">
        <v>582</v>
      </c>
      <c r="F202">
        <v>0.0868</v>
      </c>
      <c r="G202" s="248">
        <f>E202+(E202*F202)</f>
        <v>632.5176</v>
      </c>
      <c r="H202" s="215">
        <f>G202/C202</f>
        <v>632.5176</v>
      </c>
      <c r="I202" t="s">
        <v>2057</v>
      </c>
    </row>
    <row r="203" spans="1:9" ht="12.75">
      <c r="A203" t="s">
        <v>2058</v>
      </c>
      <c r="B203" s="348">
        <v>359</v>
      </c>
      <c r="C203" s="72">
        <v>1</v>
      </c>
      <c r="D203" s="72" t="s">
        <v>1659</v>
      </c>
      <c r="E203" s="12">
        <v>359</v>
      </c>
      <c r="F203">
        <v>0.0868</v>
      </c>
      <c r="G203" s="248">
        <f>E203+(E203*F203)</f>
        <v>390.1612</v>
      </c>
      <c r="H203" s="215">
        <f>G203/C203</f>
        <v>390.1612</v>
      </c>
      <c r="I203" t="s">
        <v>2059</v>
      </c>
    </row>
    <row r="204" spans="1:9" ht="12.75">
      <c r="A204" t="s">
        <v>2060</v>
      </c>
      <c r="B204" s="348">
        <v>529</v>
      </c>
      <c r="C204" s="72">
        <v>1</v>
      </c>
      <c r="D204" s="72" t="s">
        <v>1659</v>
      </c>
      <c r="E204" s="12">
        <v>529</v>
      </c>
      <c r="F204">
        <v>0.0868</v>
      </c>
      <c r="G204" s="248">
        <f>E204+(E204*F204)</f>
        <v>574.9172</v>
      </c>
      <c r="H204" s="215">
        <f>G204/C204</f>
        <v>574.9172</v>
      </c>
      <c r="I204" t="s">
        <v>2061</v>
      </c>
    </row>
    <row r="205" spans="1:9" ht="12.75">
      <c r="A205" t="s">
        <v>2062</v>
      </c>
      <c r="B205" s="348">
        <v>129</v>
      </c>
      <c r="C205" s="72">
        <v>1</v>
      </c>
      <c r="D205" s="72" t="s">
        <v>1659</v>
      </c>
      <c r="E205" s="12">
        <v>129</v>
      </c>
      <c r="F205">
        <v>0.0868</v>
      </c>
      <c r="G205" s="248">
        <f>E205+(E205*F205)</f>
        <v>140.1972</v>
      </c>
      <c r="H205" s="215">
        <f>G205/C205</f>
        <v>140.1972</v>
      </c>
      <c r="I205" t="s">
        <v>2063</v>
      </c>
    </row>
    <row r="206" spans="1:9" ht="12.75">
      <c r="A206" t="s">
        <v>209</v>
      </c>
      <c r="B206" s="348">
        <v>129</v>
      </c>
      <c r="C206" s="72">
        <v>1</v>
      </c>
      <c r="D206" s="72" t="s">
        <v>1659</v>
      </c>
      <c r="E206" s="12">
        <v>129</v>
      </c>
      <c r="F206">
        <v>0.0868</v>
      </c>
      <c r="G206" s="248">
        <f>E206+(E206*F206)</f>
        <v>140.1972</v>
      </c>
      <c r="H206" s="215">
        <f>G206/C206</f>
        <v>140.1972</v>
      </c>
      <c r="I206" t="s">
        <v>2064</v>
      </c>
    </row>
    <row r="207" spans="1:9" ht="12.75">
      <c r="A207" t="s">
        <v>2065</v>
      </c>
      <c r="B207" s="348">
        <v>93</v>
      </c>
      <c r="C207" s="72">
        <v>1</v>
      </c>
      <c r="D207" s="72" t="s">
        <v>1659</v>
      </c>
      <c r="E207" s="12">
        <v>93</v>
      </c>
      <c r="F207">
        <v>0.0868</v>
      </c>
      <c r="G207" s="248">
        <f>E207+(E207*F207)</f>
        <v>101.0724</v>
      </c>
      <c r="H207" s="215">
        <f>G207/C207</f>
        <v>101.0724</v>
      </c>
      <c r="I207" t="s">
        <v>2066</v>
      </c>
    </row>
    <row r="208" spans="1:9" ht="12.75">
      <c r="A208" t="s">
        <v>213</v>
      </c>
      <c r="B208" s="348">
        <v>57</v>
      </c>
      <c r="C208" s="72">
        <v>1</v>
      </c>
      <c r="D208" s="72" t="s">
        <v>1659</v>
      </c>
      <c r="E208" s="12">
        <v>57</v>
      </c>
      <c r="F208">
        <v>0.0868</v>
      </c>
      <c r="G208" s="248">
        <f>E208+(E208*F208)</f>
        <v>61.9476</v>
      </c>
      <c r="H208" s="215">
        <f>G208/C208</f>
        <v>61.9476</v>
      </c>
      <c r="I208" t="s">
        <v>2067</v>
      </c>
    </row>
    <row r="209" spans="1:9" ht="12.75">
      <c r="A209" t="s">
        <v>2068</v>
      </c>
      <c r="B209" s="348">
        <v>734</v>
      </c>
      <c r="C209" s="184"/>
      <c r="D209" s="159" t="s">
        <v>2069</v>
      </c>
      <c r="E209" s="12">
        <f>734/600</f>
        <v>1.2233333333333334</v>
      </c>
      <c r="F209">
        <v>0.0868</v>
      </c>
      <c r="G209" s="248">
        <f>E209+(E209*F209)</f>
        <v>1.3295186666666667</v>
      </c>
      <c r="H209" s="215" t="e">
        <f>G209/C209</f>
        <v>#DIV/0!</v>
      </c>
      <c r="I209" t="s">
        <v>2070</v>
      </c>
    </row>
    <row r="210" spans="3:5" ht="12.75">
      <c r="C210"/>
      <c r="E210" s="12"/>
    </row>
    <row r="211" spans="1:9" ht="12.75">
      <c r="A211" t="s">
        <v>2071</v>
      </c>
      <c r="B211" s="348">
        <v>3.54</v>
      </c>
      <c r="C211" s="159">
        <f>96/12</f>
        <v>8</v>
      </c>
      <c r="D211" s="159" t="s">
        <v>1659</v>
      </c>
      <c r="E211" s="12">
        <v>3.54</v>
      </c>
      <c r="F211">
        <v>0.0868</v>
      </c>
      <c r="G211" s="248">
        <f>E211+(E211*F211)</f>
        <v>3.8472720000000002</v>
      </c>
      <c r="H211" s="215">
        <f>G211/C211</f>
        <v>0.48090900000000003</v>
      </c>
      <c r="I211" s="297" t="s">
        <v>2072</v>
      </c>
    </row>
    <row r="212" spans="3:5" ht="12.75">
      <c r="C212"/>
      <c r="E212" s="12"/>
    </row>
    <row r="213" spans="3:5" ht="12.75">
      <c r="C213"/>
      <c r="E213" s="12"/>
    </row>
    <row r="214" spans="3:5" ht="12.75">
      <c r="C214"/>
      <c r="E214" s="12"/>
    </row>
    <row r="215" spans="3:5" ht="12.75">
      <c r="C215"/>
      <c r="E215" s="12"/>
    </row>
    <row r="216" spans="1:9" ht="12.75">
      <c r="A216" t="s">
        <v>2073</v>
      </c>
      <c r="B216" s="337">
        <v>162</v>
      </c>
      <c r="C216" s="72">
        <v>1</v>
      </c>
      <c r="D216" t="s">
        <v>1659</v>
      </c>
      <c r="E216" s="12">
        <v>162</v>
      </c>
      <c r="F216">
        <v>0.0868</v>
      </c>
      <c r="G216" s="248">
        <f>E216+(E216*F216)</f>
        <v>176.0616</v>
      </c>
      <c r="H216" s="215">
        <f>G216/C216</f>
        <v>176.0616</v>
      </c>
      <c r="I216" t="s">
        <v>2074</v>
      </c>
    </row>
    <row r="217" spans="1:9" ht="12.75">
      <c r="A217" t="s">
        <v>2075</v>
      </c>
      <c r="B217">
        <v>47.66</v>
      </c>
      <c r="C217" s="72">
        <v>1</v>
      </c>
      <c r="D217" t="s">
        <v>1659</v>
      </c>
      <c r="E217" s="12">
        <v>47.36</v>
      </c>
      <c r="F217">
        <v>0.0868</v>
      </c>
      <c r="G217" s="248">
        <f>E217+(E217*F217)</f>
        <v>51.470848</v>
      </c>
      <c r="H217" s="215">
        <f>G217/C217</f>
        <v>51.470848</v>
      </c>
      <c r="I217" t="s">
        <v>2076</v>
      </c>
    </row>
    <row r="218" spans="3:8" ht="12.75">
      <c r="C218"/>
      <c r="E218" s="12"/>
      <c r="G218" s="215"/>
      <c r="H218" s="215"/>
    </row>
    <row r="219" spans="1:9" ht="12.75">
      <c r="A219" t="s">
        <v>2077</v>
      </c>
      <c r="B219" t="s">
        <v>2078</v>
      </c>
      <c r="C219" s="72">
        <v>1</v>
      </c>
      <c r="D219" t="s">
        <v>1659</v>
      </c>
      <c r="E219" s="12">
        <v>1.67</v>
      </c>
      <c r="F219">
        <v>0.0868</v>
      </c>
      <c r="G219" s="248">
        <f>E219+(E219*F219)</f>
        <v>1.814956</v>
      </c>
      <c r="H219" s="215">
        <f>G219/C219</f>
        <v>1.814956</v>
      </c>
      <c r="I219" t="s">
        <v>2079</v>
      </c>
    </row>
    <row r="220" spans="1:9" ht="12.75">
      <c r="A220" t="s">
        <v>2080</v>
      </c>
      <c r="B220" t="s">
        <v>2081</v>
      </c>
      <c r="C220" s="72">
        <v>1</v>
      </c>
      <c r="D220" t="s">
        <v>1659</v>
      </c>
      <c r="E220" s="12">
        <v>4.89</v>
      </c>
      <c r="F220">
        <v>0.0868</v>
      </c>
      <c r="G220" s="248">
        <f>E220+(E220*F220)</f>
        <v>5.314451999999999</v>
      </c>
      <c r="H220" s="215">
        <f>G220/C220</f>
        <v>5.314451999999999</v>
      </c>
      <c r="I220" s="297" t="s">
        <v>2082</v>
      </c>
    </row>
    <row r="221" spans="1:9" ht="12.75">
      <c r="A221" t="s">
        <v>2083</v>
      </c>
      <c r="B221" t="s">
        <v>2084</v>
      </c>
      <c r="C221" s="72">
        <v>1</v>
      </c>
      <c r="D221" t="s">
        <v>1659</v>
      </c>
      <c r="E221" s="12">
        <v>4.15</v>
      </c>
      <c r="F221">
        <v>0.0868</v>
      </c>
      <c r="G221" s="248">
        <f>E221+(E221*F221)</f>
        <v>4.51022</v>
      </c>
      <c r="H221" s="215">
        <f>G221/C221</f>
        <v>4.51022</v>
      </c>
      <c r="I221" t="s">
        <v>2085</v>
      </c>
    </row>
    <row r="222" spans="5:7" ht="12.75">
      <c r="E222" s="12"/>
      <c r="F222">
        <v>0.0868</v>
      </c>
      <c r="G222" s="72">
        <f>E222+(E222*F222)</f>
        <v>0</v>
      </c>
    </row>
    <row r="223" spans="1:9" ht="12.75">
      <c r="A223" t="s">
        <v>1244</v>
      </c>
      <c r="C223" s="72">
        <v>1</v>
      </c>
      <c r="D223" t="s">
        <v>1659</v>
      </c>
      <c r="E223" s="12">
        <v>727.2</v>
      </c>
      <c r="F223">
        <v>0.0868</v>
      </c>
      <c r="G223" s="248">
        <f>E223+(E223*F223)</f>
        <v>790.32096</v>
      </c>
      <c r="H223" s="215">
        <f>G223/C223</f>
        <v>790.32096</v>
      </c>
      <c r="I223" t="s">
        <v>2086</v>
      </c>
    </row>
    <row r="224" spans="1:9" ht="12.75">
      <c r="A224" t="s">
        <v>1245</v>
      </c>
      <c r="C224" s="72">
        <v>1</v>
      </c>
      <c r="D224" t="s">
        <v>1659</v>
      </c>
      <c r="E224" s="12">
        <v>828</v>
      </c>
      <c r="F224">
        <v>0.0868</v>
      </c>
      <c r="G224" s="248">
        <f>E224+(E224*F224)</f>
        <v>899.8704</v>
      </c>
      <c r="H224" s="215">
        <f>G224/C224</f>
        <v>899.8704</v>
      </c>
      <c r="I224" t="s">
        <v>2087</v>
      </c>
    </row>
    <row r="225" spans="1:9" ht="12.75">
      <c r="A225" t="s">
        <v>217</v>
      </c>
      <c r="C225" s="72">
        <v>1</v>
      </c>
      <c r="D225" t="s">
        <v>1659</v>
      </c>
      <c r="E225" s="12">
        <v>898.2</v>
      </c>
      <c r="F225">
        <v>0.0868</v>
      </c>
      <c r="G225" s="248">
        <f>E225+(E225*F225)</f>
        <v>976.16376</v>
      </c>
      <c r="H225" s="215">
        <f>G225/C225</f>
        <v>976.16376</v>
      </c>
      <c r="I225" t="s">
        <v>2088</v>
      </c>
    </row>
    <row r="226" spans="1:9" ht="12.75">
      <c r="A226" t="s">
        <v>1246</v>
      </c>
      <c r="C226" s="72">
        <v>1</v>
      </c>
      <c r="D226" t="s">
        <v>1659</v>
      </c>
      <c r="E226" s="12">
        <v>1399</v>
      </c>
      <c r="F226">
        <v>0.0868</v>
      </c>
      <c r="G226" s="248">
        <f>E226+(E226*F226)</f>
        <v>1520.4332</v>
      </c>
      <c r="H226" s="215">
        <f>G226/C226</f>
        <v>1520.4332</v>
      </c>
      <c r="I226" t="s">
        <v>2089</v>
      </c>
    </row>
    <row r="227" spans="1:9" ht="12.75">
      <c r="A227" t="s">
        <v>1247</v>
      </c>
      <c r="C227" s="72">
        <v>1</v>
      </c>
      <c r="D227" t="s">
        <v>1659</v>
      </c>
      <c r="E227" s="12">
        <v>1299</v>
      </c>
      <c r="F227">
        <v>0.0868</v>
      </c>
      <c r="G227" s="248">
        <f>E227+(E227*F227)</f>
        <v>1411.7532</v>
      </c>
      <c r="H227" s="215">
        <f>G227/C227</f>
        <v>1411.7532</v>
      </c>
      <c r="I227" s="297" t="s">
        <v>2090</v>
      </c>
    </row>
    <row r="228" spans="1:9" ht="12.75">
      <c r="A228" s="36" t="s">
        <v>1248</v>
      </c>
      <c r="C228" s="72">
        <v>1</v>
      </c>
      <c r="D228" t="s">
        <v>1659</v>
      </c>
      <c r="E228" s="12">
        <v>387</v>
      </c>
      <c r="F228">
        <v>0.0868</v>
      </c>
      <c r="G228" s="248">
        <f>E228+(E228*F228)</f>
        <v>420.59159999999997</v>
      </c>
      <c r="H228" s="215">
        <f>G228/C228</f>
        <v>420.59159999999997</v>
      </c>
      <c r="I228" t="s">
        <v>2091</v>
      </c>
    </row>
    <row r="229" spans="1:9" ht="12.75">
      <c r="A229" s="36" t="s">
        <v>2092</v>
      </c>
      <c r="C229" s="72">
        <v>1</v>
      </c>
      <c r="D229" t="s">
        <v>1659</v>
      </c>
      <c r="E229" s="12">
        <v>232.99</v>
      </c>
      <c r="F229">
        <v>0.0868</v>
      </c>
      <c r="G229" s="248">
        <f>E229+(E229*F229)</f>
        <v>253.21353200000001</v>
      </c>
      <c r="H229" s="215">
        <f>G229/C229</f>
        <v>253.21353200000001</v>
      </c>
      <c r="I229" s="297" t="s">
        <v>2093</v>
      </c>
    </row>
    <row r="230" spans="1:9" ht="12.75">
      <c r="A230" s="36" t="s">
        <v>1249</v>
      </c>
      <c r="C230" s="72">
        <v>1</v>
      </c>
      <c r="D230" t="s">
        <v>1659</v>
      </c>
      <c r="E230" s="12">
        <v>899</v>
      </c>
      <c r="F230">
        <v>0.0868</v>
      </c>
      <c r="G230" s="248">
        <f>E230+(E230*F230)</f>
        <v>977.0332</v>
      </c>
      <c r="H230" s="215">
        <f>G230/C230</f>
        <v>977.0332</v>
      </c>
      <c r="I230" t="s">
        <v>2094</v>
      </c>
    </row>
    <row r="231" spans="1:9" ht="12.75">
      <c r="A231" s="36" t="s">
        <v>1250</v>
      </c>
      <c r="C231" s="72">
        <v>1</v>
      </c>
      <c r="D231" t="s">
        <v>1659</v>
      </c>
      <c r="E231" s="12">
        <v>1698</v>
      </c>
      <c r="F231">
        <v>0.0868</v>
      </c>
      <c r="G231" s="248">
        <f>E231+(E231*F231)</f>
        <v>1845.3864</v>
      </c>
      <c r="H231" s="215">
        <f>G231/C231</f>
        <v>1845.3864</v>
      </c>
      <c r="I231" t="s">
        <v>2095</v>
      </c>
    </row>
    <row r="232" spans="1:9" ht="12.75">
      <c r="A232" s="36" t="s">
        <v>1251</v>
      </c>
      <c r="C232" s="72">
        <v>1</v>
      </c>
      <c r="D232" t="s">
        <v>1659</v>
      </c>
      <c r="E232" s="12">
        <v>1749</v>
      </c>
      <c r="F232">
        <v>0.0868</v>
      </c>
      <c r="G232" s="248">
        <f>E232+(E232*F232)</f>
        <v>1900.8132</v>
      </c>
      <c r="H232" s="215">
        <f>G232/C232</f>
        <v>1900.8132</v>
      </c>
      <c r="I232" t="s">
        <v>2096</v>
      </c>
    </row>
    <row r="233" spans="1:9" ht="12.75">
      <c r="A233" s="36" t="s">
        <v>2097</v>
      </c>
      <c r="C233" s="72">
        <v>1</v>
      </c>
      <c r="D233" t="s">
        <v>1659</v>
      </c>
      <c r="E233" s="12">
        <v>1725.3</v>
      </c>
      <c r="F233">
        <v>0.0868</v>
      </c>
      <c r="G233" s="248">
        <f>E233+(E233*F233)</f>
        <v>1875.05604</v>
      </c>
      <c r="H233" s="215">
        <f>G233/C233</f>
        <v>1875.05604</v>
      </c>
      <c r="I233" s="297" t="s">
        <v>2098</v>
      </c>
    </row>
    <row r="234" spans="1:9" ht="12.75">
      <c r="A234" s="36" t="s">
        <v>1252</v>
      </c>
      <c r="C234" s="72">
        <v>1</v>
      </c>
      <c r="D234" t="s">
        <v>1659</v>
      </c>
      <c r="E234" s="12">
        <v>259</v>
      </c>
      <c r="F234">
        <v>0.0868</v>
      </c>
      <c r="G234" s="248">
        <f>E234+(E234*F234)</f>
        <v>281.4812</v>
      </c>
      <c r="H234" s="215">
        <f>G234/C234</f>
        <v>281.4812</v>
      </c>
      <c r="I234" t="s">
        <v>2099</v>
      </c>
    </row>
    <row r="235" spans="1:9" ht="12.75">
      <c r="A235" s="36" t="s">
        <v>1253</v>
      </c>
      <c r="C235" s="72">
        <v>1</v>
      </c>
      <c r="D235" t="s">
        <v>1659</v>
      </c>
      <c r="E235" s="12">
        <v>1377.49</v>
      </c>
      <c r="F235">
        <v>0.0868</v>
      </c>
      <c r="G235" s="248">
        <f>E235+(E235*F235)</f>
        <v>1497.056132</v>
      </c>
      <c r="H235" s="215">
        <f>G235/C235</f>
        <v>1497.056132</v>
      </c>
      <c r="I235" t="s">
        <v>2100</v>
      </c>
    </row>
    <row r="236" spans="1:14" ht="12.75">
      <c r="A236" s="114" t="s">
        <v>2101</v>
      </c>
      <c r="C236" s="72">
        <v>1</v>
      </c>
      <c r="D236" t="s">
        <v>1659</v>
      </c>
      <c r="E236" s="12">
        <v>511.96</v>
      </c>
      <c r="F236">
        <v>0.0868</v>
      </c>
      <c r="G236" s="248">
        <f>E236+(E236*F236)</f>
        <v>556.3981279999999</v>
      </c>
      <c r="H236" s="215">
        <f>G236/C236</f>
        <v>556.3981279999999</v>
      </c>
      <c r="I236" s="353" t="s">
        <v>2102</v>
      </c>
      <c r="J236" t="s">
        <v>1659</v>
      </c>
      <c r="K236" s="12">
        <v>259</v>
      </c>
      <c r="L236">
        <v>0.0868</v>
      </c>
      <c r="M236" s="248">
        <f>K236+(K236*L236)</f>
        <v>281.4812</v>
      </c>
      <c r="N236" s="215" t="e">
        <f>M236/I236</f>
        <v>#VALUE!</v>
      </c>
    </row>
    <row r="237" spans="1:9" ht="12.75">
      <c r="A237" s="36" t="s">
        <v>2103</v>
      </c>
      <c r="C237" s="72">
        <v>1</v>
      </c>
      <c r="D237" t="s">
        <v>1659</v>
      </c>
      <c r="E237" s="12">
        <v>411.81</v>
      </c>
      <c r="F237">
        <v>0.0868</v>
      </c>
      <c r="G237" s="248">
        <f>E237+(E237*F237)</f>
        <v>447.555108</v>
      </c>
      <c r="H237" s="215">
        <f>G237/C237</f>
        <v>447.555108</v>
      </c>
      <c r="I237" t="s">
        <v>2104</v>
      </c>
    </row>
    <row r="238" spans="1:9" ht="12.75">
      <c r="A238" s="36" t="s">
        <v>2105</v>
      </c>
      <c r="C238" s="72">
        <v>1</v>
      </c>
      <c r="D238" t="s">
        <v>1659</v>
      </c>
      <c r="E238" s="12">
        <v>128.38</v>
      </c>
      <c r="F238">
        <v>0.0868</v>
      </c>
      <c r="G238" s="248">
        <f>E238+(E238*F238)</f>
        <v>139.523384</v>
      </c>
      <c r="H238" s="215">
        <f>G238/C238</f>
        <v>139.523384</v>
      </c>
      <c r="I238" s="297" t="s">
        <v>2106</v>
      </c>
    </row>
    <row r="239" spans="1:9" ht="12.75">
      <c r="A239" s="36" t="s">
        <v>2107</v>
      </c>
      <c r="C239" s="72">
        <v>1</v>
      </c>
      <c r="D239" t="s">
        <v>1659</v>
      </c>
      <c r="E239" s="12">
        <v>128.38</v>
      </c>
      <c r="F239">
        <v>0.0868</v>
      </c>
      <c r="G239" s="248">
        <f>E239+(E239*F239)</f>
        <v>139.523384</v>
      </c>
      <c r="H239" s="215">
        <f>G239/C239</f>
        <v>139.523384</v>
      </c>
      <c r="I239" s="297" t="s">
        <v>2108</v>
      </c>
    </row>
    <row r="240" spans="1:7" ht="12.75">
      <c r="A240" s="114"/>
      <c r="E240" s="12"/>
      <c r="F240">
        <v>0.0868</v>
      </c>
      <c r="G240" s="72">
        <f>E240+(E240*F240)</f>
        <v>0</v>
      </c>
    </row>
    <row r="241" spans="1:9" ht="12.75">
      <c r="A241" s="36" t="s">
        <v>2109</v>
      </c>
      <c r="C241" s="72">
        <v>1</v>
      </c>
      <c r="D241" t="s">
        <v>1659</v>
      </c>
      <c r="E241" s="12">
        <v>108</v>
      </c>
      <c r="F241">
        <v>0.0868</v>
      </c>
      <c r="G241" s="248">
        <f>E241+(E241*F241)</f>
        <v>117.3744</v>
      </c>
      <c r="H241" s="215">
        <f>G241/C241</f>
        <v>117.3744</v>
      </c>
      <c r="I241" t="s">
        <v>2110</v>
      </c>
    </row>
    <row r="242" spans="1:9" ht="12.75">
      <c r="A242" s="36" t="s">
        <v>2111</v>
      </c>
      <c r="C242" s="72">
        <v>1</v>
      </c>
      <c r="D242" t="s">
        <v>1659</v>
      </c>
      <c r="E242" s="12">
        <v>88</v>
      </c>
      <c r="F242">
        <v>0.0868</v>
      </c>
      <c r="G242" s="248">
        <f>E242+(E242*F242)</f>
        <v>95.6384</v>
      </c>
      <c r="H242" s="215">
        <f>G242/C242</f>
        <v>95.6384</v>
      </c>
      <c r="I242" t="s">
        <v>2110</v>
      </c>
    </row>
    <row r="243" spans="1:9" ht="12.75">
      <c r="A243" t="s">
        <v>2112</v>
      </c>
      <c r="C243" s="72">
        <v>1</v>
      </c>
      <c r="D243" t="s">
        <v>2113</v>
      </c>
      <c r="E243" s="12">
        <v>21</v>
      </c>
      <c r="F243">
        <v>0.0868</v>
      </c>
      <c r="G243" s="248">
        <f>E243+(E243*F243)</f>
        <v>22.8228</v>
      </c>
      <c r="H243" s="215">
        <f>G243/C243</f>
        <v>22.8228</v>
      </c>
      <c r="I243" t="s">
        <v>2114</v>
      </c>
    </row>
    <row r="244" spans="1:9" ht="12.75">
      <c r="A244" t="s">
        <v>2115</v>
      </c>
      <c r="C244" s="72">
        <v>10</v>
      </c>
      <c r="D244" t="s">
        <v>1206</v>
      </c>
      <c r="E244" s="12">
        <v>9.99</v>
      </c>
      <c r="F244">
        <v>0.0868</v>
      </c>
      <c r="G244" s="117">
        <f>E244+(E244*F244)</f>
        <v>10.857132</v>
      </c>
      <c r="H244" s="215">
        <f>G244/C244</f>
        <v>1.0857132</v>
      </c>
      <c r="I244" t="s">
        <v>2116</v>
      </c>
    </row>
    <row r="245" spans="1:9" ht="12.75">
      <c r="A245" t="s">
        <v>2117</v>
      </c>
      <c r="C245" s="72">
        <v>10</v>
      </c>
      <c r="D245" t="s">
        <v>1206</v>
      </c>
      <c r="E245" s="12">
        <v>14.98</v>
      </c>
      <c r="F245">
        <v>0.0868</v>
      </c>
      <c r="G245" s="117">
        <f>E245+(E245*F245)</f>
        <v>16.280264</v>
      </c>
      <c r="H245" s="215">
        <f>G245/C245</f>
        <v>1.6280264</v>
      </c>
      <c r="I245" s="297" t="s">
        <v>2118</v>
      </c>
    </row>
    <row r="246" spans="1:9" ht="12.75">
      <c r="A246" t="s">
        <v>1388</v>
      </c>
      <c r="C246" s="72">
        <v>1</v>
      </c>
      <c r="D246" t="s">
        <v>1659</v>
      </c>
      <c r="E246" s="12">
        <v>32.99</v>
      </c>
      <c r="F246">
        <v>0.0868</v>
      </c>
      <c r="G246" s="117">
        <f>E246+(E246*F246)</f>
        <v>35.853532</v>
      </c>
      <c r="H246" s="215">
        <f>G246/C246</f>
        <v>35.853532</v>
      </c>
      <c r="I246" t="s">
        <v>2119</v>
      </c>
    </row>
    <row r="247" spans="1:9" ht="12.75">
      <c r="A247" t="s">
        <v>1390</v>
      </c>
      <c r="C247" s="72">
        <v>1</v>
      </c>
      <c r="D247" t="s">
        <v>1659</v>
      </c>
      <c r="E247" s="12">
        <v>17</v>
      </c>
      <c r="F247">
        <v>0.0868</v>
      </c>
      <c r="G247" s="117">
        <f>E247+(E247*F247)</f>
        <v>18.4756</v>
      </c>
      <c r="H247" s="215">
        <f>G247/C247</f>
        <v>18.4756</v>
      </c>
      <c r="I247" t="s">
        <v>2119</v>
      </c>
    </row>
    <row r="248" spans="5:7" ht="12.75">
      <c r="E248" s="12"/>
      <c r="F248">
        <v>0.0868</v>
      </c>
      <c r="G248" s="72">
        <f>E248+(E248*F248)</f>
        <v>0</v>
      </c>
    </row>
    <row r="249" spans="1:9" ht="12.75">
      <c r="A249" t="s">
        <v>2120</v>
      </c>
      <c r="C249" s="72">
        <v>1</v>
      </c>
      <c r="D249" t="s">
        <v>1659</v>
      </c>
      <c r="E249" s="12">
        <v>429</v>
      </c>
      <c r="F249">
        <v>0.0868</v>
      </c>
      <c r="G249" s="117">
        <f>E249+(E249*F249)</f>
        <v>466.23720000000003</v>
      </c>
      <c r="H249" s="215">
        <f>G249/C249</f>
        <v>466.23720000000003</v>
      </c>
      <c r="I249" s="297" t="s">
        <v>2121</v>
      </c>
    </row>
    <row r="250" spans="1:9" ht="12.75">
      <c r="A250" t="s">
        <v>2122</v>
      </c>
      <c r="C250" s="72">
        <v>1</v>
      </c>
      <c r="D250" t="s">
        <v>1659</v>
      </c>
      <c r="E250" s="12">
        <v>318</v>
      </c>
      <c r="F250">
        <v>0.0868</v>
      </c>
      <c r="G250" s="117">
        <f>E250+(E250*F250)</f>
        <v>345.6024</v>
      </c>
      <c r="H250" s="215">
        <f>G250/C250</f>
        <v>345.6024</v>
      </c>
      <c r="I250" s="297" t="s">
        <v>2123</v>
      </c>
    </row>
    <row r="251" spans="1:9" ht="12.75">
      <c r="A251" t="s">
        <v>2124</v>
      </c>
      <c r="C251" s="72">
        <v>1</v>
      </c>
      <c r="D251" t="s">
        <v>1659</v>
      </c>
      <c r="E251" s="12">
        <v>82.32</v>
      </c>
      <c r="F251">
        <v>0.0868</v>
      </c>
      <c r="G251" s="117">
        <f>E251+(E251*F251)</f>
        <v>89.46537599999999</v>
      </c>
      <c r="H251" s="215">
        <f>G251/C251</f>
        <v>89.46537599999999</v>
      </c>
      <c r="I251" s="297" t="s">
        <v>2125</v>
      </c>
    </row>
    <row r="252" spans="1:9" ht="12.75">
      <c r="A252" t="s">
        <v>2126</v>
      </c>
      <c r="C252" s="72">
        <v>1</v>
      </c>
      <c r="D252" t="s">
        <v>1659</v>
      </c>
      <c r="E252" s="12">
        <v>16.61</v>
      </c>
      <c r="F252">
        <v>0.0868</v>
      </c>
      <c r="G252" s="117">
        <f>E252+(E252*F252)</f>
        <v>18.051748</v>
      </c>
      <c r="H252" s="215">
        <f>G252/C252</f>
        <v>18.051748</v>
      </c>
      <c r="I252" s="297" t="s">
        <v>2127</v>
      </c>
    </row>
    <row r="253" spans="1:9" ht="12.75">
      <c r="A253" t="s">
        <v>2128</v>
      </c>
      <c r="C253" s="72">
        <v>1</v>
      </c>
      <c r="D253" t="s">
        <v>1659</v>
      </c>
      <c r="E253" s="12">
        <v>74.08</v>
      </c>
      <c r="F253">
        <v>0.0868</v>
      </c>
      <c r="G253" s="117">
        <f>E253+(E253*F253)</f>
        <v>80.510144</v>
      </c>
      <c r="H253" s="215">
        <f>G253/C253</f>
        <v>80.510144</v>
      </c>
      <c r="I253" s="297" t="s">
        <v>2129</v>
      </c>
    </row>
    <row r="254" spans="1:9" ht="12.75">
      <c r="A254" t="s">
        <v>2130</v>
      </c>
      <c r="C254" s="72">
        <v>1</v>
      </c>
      <c r="D254" t="s">
        <v>1659</v>
      </c>
      <c r="E254" s="12">
        <v>77</v>
      </c>
      <c r="F254">
        <v>0.0868</v>
      </c>
      <c r="G254" s="117">
        <f>E254+(E254*F254)</f>
        <v>83.6836</v>
      </c>
      <c r="H254" s="215">
        <f>G254/C254</f>
        <v>83.6836</v>
      </c>
      <c r="I254" s="297" t="s">
        <v>2131</v>
      </c>
    </row>
    <row r="255" spans="1:9" ht="12.75">
      <c r="A255" t="s">
        <v>2132</v>
      </c>
      <c r="C255" s="72">
        <v>1</v>
      </c>
      <c r="D255" t="s">
        <v>1659</v>
      </c>
      <c r="E255" s="12">
        <v>77</v>
      </c>
      <c r="F255">
        <v>0.0868</v>
      </c>
      <c r="G255" s="117">
        <f>E255+(E255*F255)</f>
        <v>83.6836</v>
      </c>
      <c r="H255" s="215">
        <f>G255/C255</f>
        <v>83.6836</v>
      </c>
      <c r="I255" s="297" t="s">
        <v>2133</v>
      </c>
    </row>
    <row r="256" spans="1:9" ht="12.75">
      <c r="A256" t="s">
        <v>2134</v>
      </c>
      <c r="C256" s="72">
        <v>1</v>
      </c>
      <c r="D256" t="s">
        <v>1659</v>
      </c>
      <c r="E256" s="12">
        <v>196</v>
      </c>
      <c r="F256">
        <v>0.0868</v>
      </c>
      <c r="G256" s="117">
        <f>E256+(E256*F256)</f>
        <v>213.0128</v>
      </c>
      <c r="H256" s="215">
        <f>G256/C256</f>
        <v>213.0128</v>
      </c>
      <c r="I256" s="297" t="s">
        <v>2135</v>
      </c>
    </row>
    <row r="257" spans="1:9" ht="12.75">
      <c r="A257" t="s">
        <v>2136</v>
      </c>
      <c r="C257" s="72">
        <v>1</v>
      </c>
      <c r="D257" t="s">
        <v>1659</v>
      </c>
      <c r="E257" s="12">
        <v>69.97</v>
      </c>
      <c r="F257">
        <v>0.0868</v>
      </c>
      <c r="G257" s="117">
        <f>E257+(E257*F257)</f>
        <v>76.043396</v>
      </c>
      <c r="H257" s="215">
        <f>G257/C257</f>
        <v>76.043396</v>
      </c>
      <c r="I257" s="297" t="s">
        <v>2137</v>
      </c>
    </row>
    <row r="258" spans="5:7" ht="12.75">
      <c r="E258" s="12"/>
      <c r="F258">
        <v>0.0868</v>
      </c>
      <c r="G258" s="72">
        <f>E258+(E258*F258)</f>
        <v>0</v>
      </c>
    </row>
    <row r="259" spans="1:9" ht="12.75">
      <c r="A259" t="s">
        <v>2138</v>
      </c>
      <c r="C259" s="72">
        <v>1</v>
      </c>
      <c r="D259" t="s">
        <v>1659</v>
      </c>
      <c r="E259" s="12">
        <v>3835</v>
      </c>
      <c r="F259">
        <v>0.0868</v>
      </c>
      <c r="G259" s="117">
        <f>E259+(E259*F259)</f>
        <v>4167.878</v>
      </c>
      <c r="H259" s="215">
        <f>G259/C259</f>
        <v>4167.878</v>
      </c>
      <c r="I259" t="s">
        <v>2139</v>
      </c>
    </row>
    <row r="260" spans="1:9" ht="12.75">
      <c r="A260" t="s">
        <v>2140</v>
      </c>
      <c r="C260" s="72">
        <v>1</v>
      </c>
      <c r="D260" t="s">
        <v>1659</v>
      </c>
      <c r="E260" s="12">
        <v>1520</v>
      </c>
      <c r="F260">
        <v>0.0868</v>
      </c>
      <c r="G260" s="117">
        <f>E260+(E260*F260)</f>
        <v>1651.936</v>
      </c>
      <c r="H260" s="215">
        <f>G260/C260</f>
        <v>1651.936</v>
      </c>
      <c r="I260" s="297" t="s">
        <v>2141</v>
      </c>
    </row>
    <row r="261" ht="12.75">
      <c r="G261" s="72">
        <f>E261+(E261*F261)</f>
        <v>0</v>
      </c>
    </row>
    <row r="262" ht="12.75">
      <c r="G262" s="72">
        <f>E262+(E262*F262)</f>
        <v>0</v>
      </c>
    </row>
    <row r="263" ht="12.75">
      <c r="G263" s="72">
        <f>E263+(E263*F263)</f>
        <v>0</v>
      </c>
    </row>
    <row r="264" ht="12.75">
      <c r="G264" s="72">
        <f>E264+(E264*F264)</f>
        <v>0</v>
      </c>
    </row>
  </sheetData>
  <sheetProtection selectLockedCells="1" selectUnlockedCells="1"/>
  <hyperlinks>
    <hyperlink ref="I2" r:id="rId1" display="http://www.homedepot.com/p/8-in-x-8-in-x-16-in-Concrete-Block-100825/202323962"/>
    <hyperlink ref="I3" r:id="rId2" display="http://www.homedepot.com/p/6-in-x-8-in-x-16-in-Concrete-MW-Block-6816/3017552301.238952"/>
    <hyperlink ref="I5" r:id="rId3" display="http://phxbrickyard.com 602-258-7158 $0.60/ brick maybe a little less, add a dime for tumbling"/>
    <hyperlink ref="I6" r:id="rId4" display="http://www.homedepot.com/p/Simpson-Strong-Tie-22-Gauge-Brick-Tie-100-Pack-BT-R100/100375148"/>
    <hyperlink ref="I7" r:id="rId5" display="http://www.homedepot.com/p/Construction-Metals-4-in-x-4-in-x-10-ft-Galvanized-Steel-L-Flashing-LF44G/202093207"/>
    <hyperlink ref="I8" r:id="rId6" display="http://www.homedepot.com/p/Quikrete-70-lb-Type-S-Masonry-Cement-112571/100318458"/>
    <hyperlink ref="I13" r:id="rId7" display="http://www.homedepot.com/p/1-2-in-x-20-ft-Rebar-REB-4-615G4-20/202532809"/>
    <hyperlink ref="I14" r:id="rId8" display="http://www.homedepot.com/p/Grip-Rite-18-in-x-0-5-in-Hot-Galvanized-Anchor-Bolt-50-Pieces-per-Box-1218GAB50/100190687"/>
    <hyperlink ref="I15" r:id="rId9" display="https://www.lowes.com/pd/Common-2-in-x-4-in-x-8-ft-Actual-1-5-in-x-3-5-in-x-8-ft-Stud/1000028847"/>
    <hyperlink ref="I16" r:id="rId10" display="https://www.lowes.com/pd/Common-2-in-x-4-in-x-8-ft-Actual-1-5-in-x-3-5-in-x-8-ft-Stud/1000028847"/>
    <hyperlink ref="I21" r:id="rId11" display="http://www.homedepot.com/p/2-in-x-6-in-x-10-ft-2-and-Better-Kiln-Dried-Douglas-Fir-Board-HCF-KDDF-PRIME-2x6x10/206804069"/>
    <hyperlink ref="I34" r:id="rId12" display="http://www.hesterslogandlumber.com/rough-cut-lumber-pricesheet.html"/>
    <hyperlink ref="I35" r:id="rId13" display="http://www.hesterslogandlumber.com/rough-cut-lumber-pricesheet.html"/>
    <hyperlink ref="I36" r:id="rId14" display="http://www.hesterslogandlumber.com/rough-cut-lumber-pricesheet.html"/>
    <hyperlink ref="I37" r:id="rId15" display="https://northlandwood.com/roughlumber/"/>
    <hyperlink ref="I38" r:id="rId16" display="https://northlandwood.com/roughlumber/"/>
    <hyperlink ref="I39" r:id="rId17" display="https://northlandwood.com/roughlumber/"/>
    <hyperlink ref="I40" r:id="rId18" display="https://www.homedepot.com/p/2-in-x-6-in-x-16-ft-Construction-Common-Redwood-Board-436429/206075385"/>
    <hyperlink ref="I42" r:id="rId19" display="http://www.homedepot.com/p/Pattern-Stock-Cedar-Tongue-and-Groove-Board-Common-1-in-x-6-in-x-12-ft-Actual-0-625-in-x-5-37-in-x-144-in-906909/100071949"/>
    <hyperlink ref="I43" r:id="rId20" display="http://www.homedepot.com/p/1-4-in-x-3-5-in-14-sq-ft-Western-Cedar-Planks-6-Pack-8203015/202106509"/>
    <hyperlink ref="I44" r:id="rId21" display="http://www.homedepot.com/p/1-4-in-x-3-3-4-in-x-48-in-100-Aromatic-Eastern-Red-Cedar-Planking-36422/205667315"/>
    <hyperlink ref="I48" r:id="rId22" display="http://www.homedepot.com/p/15-32-in-x-4-ft-x-8-ft-3-Ply-RTD-Sheathing-166073/100067329"/>
    <hyperlink ref="I49" r:id="rId23" display="http://www.homedepot.com/p/19-32-in-x-4-ft-x-8-ft-Rtd-Sheathing-Syp-166081/100004472"/>
    <hyperlink ref="I50" r:id="rId24" display="http://www.homedepot.com/p/23-32-in-x-4-ft-x-8-ft-RTD-Sheathing-Syp-166103/100041308"/>
    <hyperlink ref="I52" r:id="rId25" display="http://www.homedepot.com/p/7-16-in-x-48-in-x-8ft-Oriented-Strand-Board-386081/202106230"/>
    <hyperlink ref="I61" r:id="rId26" display="https://northlandwood.com/joists_beams_lams/"/>
    <hyperlink ref="I69" r:id="rId27" display="https://www.goodrichlumber.com/MainSite/Store1/StoreProducts/ProductDetail/1474"/>
    <hyperlink ref="I72" r:id="rId28" display="http://www.northlandwood.com/lam.htm"/>
    <hyperlink ref="I73" r:id="rId29" display="http://www.northlandwood.com/lam.htm"/>
    <hyperlink ref="I74" r:id="rId30" display="http://www.northlandwood.com/lam.htm"/>
    <hyperlink ref="I75" r:id="rId31" display="http://www.northlandwood.com/lam.htm"/>
    <hyperlink ref="I76" r:id="rId32" display="http://www.northlandwood.com/lam.htm"/>
    <hyperlink ref="I83" r:id="rId33" display="https://www.goodrichlumber.com/MainSite/Store1/StoreProducts/ProductDetail/5"/>
    <hyperlink ref="I89" r:id="rId34" display="http://www.homedepot.com/p/Grip-Rite-3-1-4-in-x-0-131-Plastic-Bright-Vinyl-Coated-Steel-Smooth-Shank-Round-Framing-Nails-4-000-per-Box-GR024/100394345"/>
    <hyperlink ref="I96" r:id="rId35" display="http://www.homedepot.com/p/Owens-Corning-R-30-Kraft-Faced-Insulation-Batts-24-in-x-48-in-BF71/202585885"/>
    <hyperlink ref="I97" r:id="rId36" display="https://www.lowes.com/pd/Johns-Manville-R-38-48-sq-ft-Faced-Fiberglass-Batt-Insulation-with-Sound-Barrier-16-in-W-x-48-in-L/1000165241"/>
    <hyperlink ref="I98" r:id="rId37" display="http://www.homedepot.com/p/Owens-Corning-R38-Insulation-Unfaced-Batts-24-in-x-48-in-8-Bags-BU81/205471557"/>
    <hyperlink ref="I99" r:id="rId38" display="https://www.lowes.com/pd/Owens-Corning-R49-48-sq-ft-Faced-Fiberglass-Batt-Insulation-with-Sound-Barrier-24-in-W-x-48-in-L/1000085517"/>
    <hyperlink ref="I105" r:id="rId39" display="http://www.homedepot.com/p/Owens-Corning-FOAMULAR-250-2-in-x-48-in-x-8-ft-R-10-Scored-Squared-Edge-Insulation-Sheathing-52DD/202085962"/>
    <hyperlink ref="I106" r:id="rId40" display="http://www.homedepot.com/p/Thermasheath-Rmax-Thermasheath-3-2-in-x-4-ft-x-8-ft-R-13-1-Polyisocyanurate-Rigid-Foam-Insulation-Board-613010/100573703"/>
    <hyperlink ref="I107" r:id="rId41" display="http://www.homedepot.com/p/Thermasheath-Rmax-Thermasheath-3-2-in-x-4-ft-x-8-ft-R-13-1-Polyisocyanurate-Rigid-Foam-Insulation-Board-613010/100573703"/>
    <hyperlink ref="I108" r:id="rId42" display="https://crawlspacerepair.com/20-mil-vapor-barrier-for-crawl-space-encapsulation"/>
    <hyperlink ref="I109" r:id="rId43" display="https://crawlspacerepair.com/waterproof-seam-tape-for-crawl-space-vapor-barrier"/>
    <hyperlink ref="I110" r:id="rId44" display="https://crawlspacerepair.com/foundation-seal-tape-for-crawl-spaces"/>
    <hyperlink ref="I111" r:id="rId45" display="http://www.rewci.com/crspve110cfm.html"/>
    <hyperlink ref="I120" r:id="rId46" display="http://www.homedepot.com/p/Freeman-1-1-4-in-11-Gauge-Roofing-Nails-RN-125/203502962"/>
    <hyperlink ref="I128" r:id="rId47" display="http://www.homedepot.com/p/SIMONTON-96-in-x-48-in-DaylightMax-Universal-Hand-End-Vent-Sliding-Vinyl-Window-White-DMEV-9648WHL2ARHS/204740938"/>
    <hyperlink ref="I129" r:id="rId48" display="http://www.homedepot.com/p/JELD-WEN-59-5-in-x-47-5-in-V-4500-Series-Left-Hand-Sliding-Vinyl-Windows-White-THDJW140400125/205818294"/>
    <hyperlink ref="I130" r:id="rId49" display="http://www.homedepot.com/p/JELD-WEN-47-5-in-x-47-5-in-V-4500-Series-Right-Hand-Sliding-Vinyl-Windows-White-THDJW140400105/205818292"/>
    <hyperlink ref="I131" r:id="rId50" display="http://www.homedepot.com/p/JELD-WEN-47-5-in-x-23-5-in-V-4500-Series-Awning-Vinyl-Window-White-THDJW140000447/205720398"/>
    <hyperlink ref="I132" r:id="rId51" display="http://www.homedepot.com/p/JELD-WEN-35-5-in-x-35-5-in-V-4500-Series-Fixed-Picture-Vinyl-Window-in-White-THDJW142100094/205807124"/>
    <hyperlink ref="I133" r:id="rId52" display="http://www.homedepot.com/p/JELD-WEN-23-5-in-x-35-5-in-V-4500-Series-Single-Hung-Vinyl-Window-Yellow-THDJW143900135/205688339"/>
    <hyperlink ref="I136" r:id="rId53" display="http://www.homedepot.com/p/JELD-WEN-35-5-in-x-47-5-in-V-4500-Series-Single-Hung-Vinyl-Window-White-THDJW143900085/205688305"/>
    <hyperlink ref="I144" r:id="rId54" display="http://www.homedepot.com/p/Masonite-36-in-x-80-in-6-Panel-Left-Handed-Hollow-Core-Textured-Primed-Composite-Single-Prehung-Interior-Door-07450/100084672"/>
    <hyperlink ref="I145" r:id="rId55" display="http://www.homedepot.com/p/JELD-WEN-36-in-x-80-in-6-Panel-Primed-20-Minute-Fire-Rated-Steel-Prehung-Left-Hand-Inswing-Front-Door-THDJW166100249/202036318"/>
    <hyperlink ref="I146" r:id="rId56" display="http://www.homedepot.com/p/Builder-s-Choice-36-in-x-80-in-6-Panel-Left-Hand-Hemlock-Single-Prehung-Interior-Door-HD66S30L/100096329"/>
    <hyperlink ref="I147" r:id="rId57" display="http://www.homedepot.com/p/Builder-s-Choice-36-in-x-80-in-6-Panel-Left-Hand-Hemlock-Single-Prehung-Interior-Door-HD66S30L/100096329"/>
    <hyperlink ref="I148" r:id="rId58" display="http://www.homedepot.com/p/Builder-s-Choice-36-in-x-80-in-6-Panel-Left-Hand-Hemlock-Single-Prehung-Interior-Door-HD66S30L/100096329"/>
    <hyperlink ref="I164" r:id="rId59" display="https://www.menards.com/main/doors-windows-millwork/exterior-doors/garage-doors/garage-doors/ideal-door-reg-4-star-10-x-14-white-commercial-insulated-garage-door/p-1444433860578-c-12358.htm?tid=-2555219637433344797&amp;ipos=2"/>
    <hyperlink ref="I165" r:id="rId60" display="https://www.menards.com/main/doors-windows-millwork/exterior-doors/garage-doors/garage-doors/ideal-door-reg-3-star-12-x-14-white-commercial-insulated-garage-door/12x14c5ess4259420/p-1444433850569-c-12358.htm?tid=8590176457435048487&amp;ipos=7"/>
    <hyperlink ref="I167" r:id="rId61" display="http://www.homedepot.com/p/Kwikset-Cove-Antique-Brass-Bed-Bath-Knob-300CV-5-RCAL-RCS/203274878"/>
    <hyperlink ref="I170" r:id="rId62" display="http://www.homedepot.com/p/Kwikset-Juno-Satin-Nickel-Exterior-Entry-Knob-and-Single-Cylinder-Deadbolt-Combo-Pack-featuring-SmartKey-991J-15-SMT-CP/100597328"/>
    <hyperlink ref="I182" r:id="rId63" display="http://www.homedepot.com/p/Heritage-Mill-Oak-Golden-3-4-in-Thick-x-4-in-Wide-x-Random-Length-Solid-Real-Hardwood-Flooring-21-sq-ft-case-PF9679/206021887"/>
    <hyperlink ref="I183" r:id="rId64" display="https://www.homedepot.com/p/Blue-Ridge-Hardwood-Flooring-Oak-Honey-Wheat-3-4-in-Thick-x-2-1-4-in-Wide-x-Random-Length-Solid-Hardwood-Flooring-18-sq-ft-case-20476/206719811"/>
    <hyperlink ref="I186" r:id="rId65" display="http://www.homedepot.com/p/Custom-Building-Products-VersaBond-Gray-50-lb-Fortified-Thin-Set-Mortar-MTSG50/100162542?MERCH=REC-_-NavPLPHorizontal1_rr-_-NA-_-100162542-_-N"/>
    <hyperlink ref="I187" r:id="rId66" display="http://www.homedepot.com/p/Custom-Building-Products-Polyblend-548-Surf-Green-7-lb-Sanded-Grout-PBG5487-4/205939330"/>
    <hyperlink ref="I191" r:id="rId67" display="https://www.lowes.com/pd/STAINMASTER-11-11-mm-Rebond-Carpet-Padding/50280767"/>
    <hyperlink ref="I192" r:id="rId68" display="https://www.lowes.com/pd/Blue-Hawk-1-in-Blue-Tack-Strip/4755339"/>
    <hyperlink ref="I211" r:id="rId69" display="http://www.homedepot.com/p/Woodgrain-Millwork-WM-623-9-16-in-x-3-1-4-in-x-96-in-Primed-Finger-Jointed-Base-Moulding-10000558/203209372"/>
    <hyperlink ref="I220" r:id="rId70" display="http://www.homedepot.com/p/Simpson-Strong-Tie-1-3-4-in-x-11-7-8-in-Face-Mount-I-Joist-Hanger-IUS1-81-11-88/203302218?keyword=IUS1.81%2F11.88"/>
    <hyperlink ref="I227" r:id="rId71" display="https://www.homedepot.com/p/Rheem-Performance-Platinum-9-5-GPM-Liquid-Propane-High-Efficiency-Indoor-Tankless-Water-Heater-ECOH200DVLP-1/206934438"/>
    <hyperlink ref="I229" r:id="rId72" display="https://www.homedepot.com/p/MAREY-3-1-GPM-Liquid-Propane-Gas-Digital-Panel-Tankless-Water-Heater-GA10LPDP/204357327?MERCH=REC-_-rv_search_plp_rr-_-NA-_-204357327-_-N"/>
    <hyperlink ref="I233" r:id="rId73" display="http://www.woodlanddirect.com/Fireplace-Accessories/Direct-Vent-Fireplaces/Empire-Deluxe-Tahoe-Direct-Vent-Gas-Fireplace-36"/>
    <hyperlink ref="I236" r:id="rId74" display="http://www.homedepot.com/p/ISPRING-Dual-Flow-500-GPD-Commercial-Grade-Tankless-Under-Sink-Reverse-Osmosis-Water-Filtration-System-w-1-1-Filter-Drain-Ratio-RCS5T/2065044971"/>
    <hyperlink ref="I238" r:id="rId75" display="https://www.homedepot.com/p/Panasonic-WhisperCeiling-110-CFM-Ceiling-Exhaust-Bath-Fan-ENERGY-STAR-FV-11VQ5/203762022"/>
    <hyperlink ref="I239" r:id="rId76" display="https://www.amazon.com/Honeywell-VNT5200H1000-Heat-Recovery-Ventilator/dp/B00722UIHE/ref=sr_1_17?ie=UTF8&amp;qid=1521844215&amp;sr=8-17&amp;keywords=heat+recovery+ventilator"/>
    <hyperlink ref="I245" r:id="rId77" display="https://www.lowes.com/pd/Charlotte-Pipe-4-in-x-10-ft-Solid-PVC-Sewer-Drain-Pipe/3133159"/>
    <hyperlink ref="I249" r:id="rId78" display="https://www.homedepot.com/p/Siemens-400-Amp-4-Space-4-Circuit-Levery-Bypass-Meter-Main-Combination-with-and-Ringless-Cover-MM0404L1400RLM/302878820?MERCH=REC-_-PIPHorizontal2_rr-_-100140344-_-302878820-_-N"/>
    <hyperlink ref="I250" r:id="rId79" display="https://www.homedepot.com/p/Siemens-ES-Series-200-Amp-40-Space-60-Circuit-Main-Breaker-Load-Center-with-60kA-FirstSurge-Device-Installed-S4060B1200S060/300077952"/>
    <hyperlink ref="I251" r:id="rId80" display="https://www.homedepot.com/p/Siemens-15-Amp-Single-Pole-Circuit-Breaker-QAFH2-Combo-AFCI-QA115AFCH/302649396"/>
    <hyperlink ref="I252" r:id="rId81" display="https://www.homedepot.com/p/Siemens-15-Amp-Single-Pole-Branch-Feeder-AFCI-Circuit-Breaker-US2-QA115AF/301395761"/>
    <hyperlink ref="I253" r:id="rId82" display="https://www.homedepot.com/p/Siemens-20-Amp-Single-Pole-Circuit-Breaker-BAF2-Combo-AFCI-BA120AFC/302649398"/>
    <hyperlink ref="I254" r:id="rId83" display="https://www.homedepot.com/b/Electrical-Power-Distribution-Circuit-Breakers-2-Pole-Breakers/Siemens/GFCI/20/N-5yc1vZbm1eZ1ddZ1z0mh9uZ1z0u3fe"/>
    <hyperlink ref="I255" r:id="rId84" display="https://www.homedepot.com/p/Siemens-30-Amp-Double-Pole-Type-QPF2-GFCI-Circuit-Breaker-US2-QF230AP/206965318"/>
    <hyperlink ref="I256" r:id="rId85" display="https://www.homedepot.com/p/Siemens-50-Amp-Double-Pole-Type-QE-Ground-Fault-Equipment-Protection-Circuit-Breaker-QE250/302469491"/>
    <hyperlink ref="I257" r:id="rId86" display="https://www.homedepot.com/p/Siemens-200-Amp-2-Pole-10kA-Type-QN-Reverse-Handle-Main-Breaker-QN2200R/100072323"/>
    <hyperlink ref="I260" r:id="rId87" display="http://shop.loomistank.com/product/0/LSI43503/_/SI_1250_SEPTIC_LP_2CP#.WmIeq66nGUm"/>
  </hyperlinks>
  <printOptions/>
  <pageMargins left="0.7875" right="0.7875" top="1.0263888888888888" bottom="1.0263888888888888" header="0.7875" footer="0.7875"/>
  <pageSetup fitToHeight="1" fitToWidth="1" horizontalDpi="300" verticalDpi="300" orientation="landscape"/>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75"/>
  <sheetViews>
    <sheetView zoomScale="90" zoomScaleNormal="90" workbookViewId="0" topLeftCell="A1">
      <selection activeCell="K25" sqref="K25"/>
    </sheetView>
  </sheetViews>
  <sheetFormatPr defaultColWidth="12.57421875" defaultRowHeight="12.75"/>
  <cols>
    <col min="1" max="1" width="42.7109375" style="0" customWidth="1"/>
    <col min="2" max="2" width="17.140625" style="0" customWidth="1"/>
    <col min="3" max="3" width="30.57421875" style="0" customWidth="1"/>
    <col min="4" max="4" width="9.7109375" style="0" customWidth="1"/>
    <col min="5" max="5" width="17.140625" style="0" customWidth="1"/>
    <col min="6" max="6" width="13.140625" style="0" customWidth="1"/>
    <col min="7" max="7" width="14.140625" style="0" customWidth="1"/>
    <col min="8" max="16384" width="11.57421875" style="0" customWidth="1"/>
  </cols>
  <sheetData>
    <row r="1" spans="1:7" ht="12.75">
      <c r="A1" s="354" t="s">
        <v>2142</v>
      </c>
      <c r="B1" s="354"/>
      <c r="C1" s="354"/>
      <c r="D1" s="354"/>
      <c r="E1" s="354"/>
      <c r="F1" s="354"/>
      <c r="G1" s="354"/>
    </row>
    <row r="2" spans="1:7" ht="12.75">
      <c r="A2" s="355" t="s">
        <v>59</v>
      </c>
      <c r="B2" s="355" t="s">
        <v>60</v>
      </c>
      <c r="C2" s="355" t="s">
        <v>2143</v>
      </c>
      <c r="D2" s="355" t="s">
        <v>62</v>
      </c>
      <c r="E2" s="355" t="s">
        <v>63</v>
      </c>
      <c r="F2" s="355" t="s">
        <v>64</v>
      </c>
      <c r="G2" s="355" t="s">
        <v>2144</v>
      </c>
    </row>
    <row r="3" spans="1:7" ht="12.75">
      <c r="A3" s="356" t="s">
        <v>2145</v>
      </c>
      <c r="B3" s="357"/>
      <c r="C3" s="357"/>
      <c r="D3" s="357"/>
      <c r="E3" s="357"/>
      <c r="F3" s="358">
        <f>SUM(B3:E3)</f>
        <v>0</v>
      </c>
      <c r="G3" s="359">
        <f>SUM(B3:E3)</f>
        <v>0</v>
      </c>
    </row>
    <row r="4" spans="1:7" ht="12.75">
      <c r="A4" s="356" t="s">
        <v>2146</v>
      </c>
      <c r="B4" s="357"/>
      <c r="C4" s="357"/>
      <c r="D4" s="357">
        <v>200</v>
      </c>
      <c r="E4" s="357"/>
      <c r="F4" s="358">
        <f>SUM(B4:E4)</f>
        <v>200</v>
      </c>
      <c r="G4" s="359">
        <v>0</v>
      </c>
    </row>
    <row r="5" spans="1:7" ht="12.75">
      <c r="A5" s="356" t="s">
        <v>2147</v>
      </c>
      <c r="B5" s="357"/>
      <c r="C5" s="357"/>
      <c r="D5" s="357">
        <v>5500</v>
      </c>
      <c r="E5" s="357"/>
      <c r="F5" s="358">
        <f>SUM(B5:E5)</f>
        <v>5500</v>
      </c>
      <c r="G5" s="359">
        <v>0</v>
      </c>
    </row>
    <row r="6" spans="1:7" ht="12.75">
      <c r="A6" s="360" t="s">
        <v>2148</v>
      </c>
      <c r="B6" s="357">
        <v>0</v>
      </c>
      <c r="C6" s="361">
        <v>0</v>
      </c>
      <c r="D6" s="357">
        <v>0</v>
      </c>
      <c r="E6" s="357"/>
      <c r="F6" s="358">
        <f>SUM(B6:E6)</f>
        <v>0</v>
      </c>
      <c r="G6" s="359">
        <v>16</v>
      </c>
    </row>
    <row r="7" spans="1:7" ht="12.75">
      <c r="A7" s="360" t="s">
        <v>2149</v>
      </c>
      <c r="B7" s="361">
        <f>Septic!F18</f>
        <v>14182.4612352</v>
      </c>
      <c r="C7" s="361"/>
      <c r="D7" s="361">
        <f>358+2.5</f>
        <v>360.5</v>
      </c>
      <c r="E7" s="361"/>
      <c r="F7" s="358">
        <f>SUM(B7:E7)</f>
        <v>14542.9612352</v>
      </c>
      <c r="G7" s="359">
        <v>140</v>
      </c>
    </row>
    <row r="8" spans="1:7" ht="12.75">
      <c r="A8" s="360" t="s">
        <v>2150</v>
      </c>
      <c r="B8" s="357"/>
      <c r="C8" s="361">
        <v>1300</v>
      </c>
      <c r="D8" s="357"/>
      <c r="E8" s="357"/>
      <c r="F8" s="358">
        <f>SUM(B8:E8)</f>
        <v>1300</v>
      </c>
      <c r="G8" s="359">
        <v>40</v>
      </c>
    </row>
    <row r="9" spans="1:7" ht="12.75">
      <c r="A9" s="356" t="s">
        <v>2151</v>
      </c>
      <c r="B9" s="357"/>
      <c r="C9" s="357"/>
      <c r="D9" s="357">
        <f>68.5+378.8</f>
        <v>447.3</v>
      </c>
      <c r="E9" s="357"/>
      <c r="F9" s="358">
        <f>SUM(B9:E9)</f>
        <v>447.3</v>
      </c>
      <c r="G9" s="359">
        <v>90</v>
      </c>
    </row>
    <row r="10" spans="1:7" ht="12.75">
      <c r="A10" s="356" t="s">
        <v>2152</v>
      </c>
      <c r="B10" s="357"/>
      <c r="C10" s="357"/>
      <c r="D10" s="357"/>
      <c r="E10" s="357">
        <v>500</v>
      </c>
      <c r="F10" s="358">
        <f>SUM(B10:E10)</f>
        <v>500</v>
      </c>
      <c r="G10" s="359">
        <v>0</v>
      </c>
    </row>
    <row r="11" spans="1:7" ht="12.75">
      <c r="A11" s="356" t="s">
        <v>2153</v>
      </c>
      <c r="B11" s="357"/>
      <c r="C11" s="357"/>
      <c r="D11" s="357"/>
      <c r="E11" s="357">
        <v>500</v>
      </c>
      <c r="F11" s="358">
        <f>SUM(B11:E11)</f>
        <v>500</v>
      </c>
      <c r="G11" s="359">
        <v>0</v>
      </c>
    </row>
    <row r="12" spans="1:7" ht="12.75">
      <c r="A12" s="356" t="s">
        <v>2154</v>
      </c>
      <c r="B12" s="357">
        <f>Shop_Est!B54</f>
        <v>58180.49604776751</v>
      </c>
      <c r="C12" s="357">
        <f>Shop_Est!C54</f>
        <v>5600</v>
      </c>
      <c r="D12" s="357">
        <f>Shop_Est!D54</f>
        <v>0</v>
      </c>
      <c r="E12" s="357">
        <f>Shop_Est!E54</f>
        <v>693</v>
      </c>
      <c r="F12" s="358">
        <f>SUM(B12:E12)</f>
        <v>64473.49604776751</v>
      </c>
      <c r="G12" s="359">
        <f>Shop_Est!H54</f>
        <v>568</v>
      </c>
    </row>
    <row r="13" spans="1:7" ht="12.75">
      <c r="A13" s="356" t="s">
        <v>2155</v>
      </c>
      <c r="B13" s="357">
        <f>House_Est!B124</f>
        <v>245371.60457297185</v>
      </c>
      <c r="C13" s="357">
        <f>House_Est!C124</f>
        <v>8000</v>
      </c>
      <c r="D13" s="357"/>
      <c r="E13" s="357">
        <f>House_Est!E124</f>
        <v>2040</v>
      </c>
      <c r="F13" s="358">
        <f>SUM(B13:E13)</f>
        <v>255411.60457297185</v>
      </c>
      <c r="G13" s="359">
        <f>House_Est!H124</f>
        <v>2066</v>
      </c>
    </row>
    <row r="14" spans="1:7" ht="12.75">
      <c r="A14" s="356" t="s">
        <v>161</v>
      </c>
      <c r="B14" s="357">
        <v>452</v>
      </c>
      <c r="C14" s="357"/>
      <c r="D14" s="357"/>
      <c r="E14" s="357"/>
      <c r="F14" s="358">
        <f>SUM(B14:E14)</f>
        <v>452</v>
      </c>
      <c r="G14" s="359">
        <v>40</v>
      </c>
    </row>
    <row r="15" spans="1:7" ht="12.75">
      <c r="A15" s="356" t="s">
        <v>2156</v>
      </c>
      <c r="B15" s="357">
        <v>2000</v>
      </c>
      <c r="C15" s="357"/>
      <c r="D15" s="357"/>
      <c r="E15" s="357"/>
      <c r="F15" s="358">
        <f>SUM(B15:E15)</f>
        <v>2000</v>
      </c>
      <c r="G15" s="359">
        <v>40</v>
      </c>
    </row>
    <row r="16" spans="1:7" ht="12.75">
      <c r="A16" s="356" t="s">
        <v>2157</v>
      </c>
      <c r="B16" s="357"/>
      <c r="C16" s="357"/>
      <c r="D16" s="357">
        <v>200</v>
      </c>
      <c r="E16" s="357"/>
      <c r="F16" s="358">
        <f>SUM(B16:E16)</f>
        <v>200</v>
      </c>
      <c r="G16" s="359">
        <v>40</v>
      </c>
    </row>
    <row r="17" spans="1:7" ht="12.75">
      <c r="A17" s="362" t="s">
        <v>2158</v>
      </c>
      <c r="B17" s="357"/>
      <c r="C17" s="357">
        <v>500</v>
      </c>
      <c r="D17" s="357"/>
      <c r="E17" s="357"/>
      <c r="F17" s="358">
        <f>SUM(B17:E17)</f>
        <v>500</v>
      </c>
      <c r="G17" s="359">
        <v>4</v>
      </c>
    </row>
    <row r="18" spans="1:7" ht="12.75">
      <c r="A18" s="362"/>
      <c r="B18" s="357"/>
      <c r="C18" s="357"/>
      <c r="D18" s="357"/>
      <c r="E18" s="357"/>
      <c r="F18" s="358"/>
      <c r="G18" s="359"/>
    </row>
    <row r="19" spans="1:8" ht="12.75">
      <c r="A19" s="355" t="s">
        <v>6</v>
      </c>
      <c r="B19" s="363">
        <f>SUM(B3:B18)</f>
        <v>320186.56185593933</v>
      </c>
      <c r="C19" s="363">
        <f>SUM(C3:C18)</f>
        <v>15400</v>
      </c>
      <c r="D19" s="363">
        <f>SUM(D3:D18)</f>
        <v>6707.8</v>
      </c>
      <c r="E19" s="363">
        <f>SUM(E3:E18)</f>
        <v>3733</v>
      </c>
      <c r="F19" s="363">
        <f>SUM(F3:F18)</f>
        <v>346027.3618559394</v>
      </c>
      <c r="G19" s="364">
        <f>SUM(G3:G18)</f>
        <v>3044</v>
      </c>
      <c r="H19" s="365"/>
    </row>
    <row r="20" spans="1:7" ht="12.75">
      <c r="A20" s="285"/>
      <c r="B20" s="285"/>
      <c r="C20" s="285"/>
      <c r="D20" s="285"/>
      <c r="E20" s="285"/>
      <c r="F20" s="366"/>
      <c r="G20" s="364"/>
    </row>
    <row r="21" spans="1:7" ht="12.75">
      <c r="A21" s="285" t="s">
        <v>2159</v>
      </c>
      <c r="B21" s="366">
        <f>B19*0.1</f>
        <v>32018.656185593936</v>
      </c>
      <c r="C21" s="366">
        <f>C19*0.1</f>
        <v>1540</v>
      </c>
      <c r="D21" s="366">
        <f>D19*0.1</f>
        <v>670.7800000000001</v>
      </c>
      <c r="E21" s="366">
        <f>E19*0.1</f>
        <v>373.3</v>
      </c>
      <c r="F21" s="366">
        <f>F19*0.1</f>
        <v>34602.73618559394</v>
      </c>
      <c r="G21" s="364">
        <f>G19*0.1</f>
        <v>304.40000000000003</v>
      </c>
    </row>
    <row r="22" spans="1:7" ht="12.75">
      <c r="A22" s="285"/>
      <c r="B22" s="285"/>
      <c r="C22" s="285"/>
      <c r="D22" s="285"/>
      <c r="E22" s="285"/>
      <c r="F22" s="285"/>
      <c r="G22" s="364"/>
    </row>
    <row r="23" spans="1:7" ht="12.75">
      <c r="A23" s="285" t="s">
        <v>2160</v>
      </c>
      <c r="B23" s="366">
        <f>B19+B21</f>
        <v>352205.21804153326</v>
      </c>
      <c r="C23" s="366">
        <f>C19+C21</f>
        <v>16940</v>
      </c>
      <c r="D23" s="366">
        <f>D19+D21</f>
        <v>7378.58</v>
      </c>
      <c r="E23" s="366">
        <f>E19+E21</f>
        <v>4106.3</v>
      </c>
      <c r="F23" s="366">
        <f>F19+F21</f>
        <v>380630.0980415333</v>
      </c>
      <c r="G23" s="364">
        <f>G19+G21</f>
        <v>3348.4</v>
      </c>
    </row>
    <row r="24" spans="3:4" ht="12.75">
      <c r="C24" t="s">
        <v>2161</v>
      </c>
      <c r="D24" s="290"/>
    </row>
    <row r="27" spans="1:6" ht="12.75">
      <c r="A27" s="36"/>
      <c r="B27" s="365"/>
      <c r="C27" s="365"/>
      <c r="D27" s="365"/>
      <c r="E27" s="365"/>
      <c r="F27" s="365"/>
    </row>
    <row r="29" ht="12.75">
      <c r="F29" s="365"/>
    </row>
    <row r="31" ht="12.75">
      <c r="F31" s="365"/>
    </row>
    <row r="33" spans="6:7" ht="12.75">
      <c r="F33" s="12"/>
      <c r="G33" s="22"/>
    </row>
    <row r="34" spans="6:8" ht="12.75">
      <c r="F34" s="365"/>
      <c r="H34" s="22"/>
    </row>
    <row r="43" ht="12.75">
      <c r="B43" s="22"/>
    </row>
    <row r="44" ht="12.75">
      <c r="B44" s="22"/>
    </row>
    <row r="45" ht="12.75">
      <c r="B45" s="22"/>
    </row>
    <row r="58" ht="12.75">
      <c r="B58" s="22"/>
    </row>
    <row r="70" ht="12.75">
      <c r="B70" s="22"/>
    </row>
    <row r="71" ht="12.75">
      <c r="B71" s="22"/>
    </row>
    <row r="73" ht="12.75">
      <c r="B73" s="22"/>
    </row>
    <row r="75" ht="12.75">
      <c r="B75" s="22"/>
    </row>
  </sheetData>
  <sheetProtection selectLockedCells="1" selectUnlockedCells="1"/>
  <mergeCells count="1">
    <mergeCell ref="A1:G1"/>
  </mergeCells>
  <printOptions/>
  <pageMargins left="0.7875" right="0.7875" top="1.0263888888888888" bottom="1.0263888888888888" header="0.7875" footer="0.7875"/>
  <pageSetup fitToHeight="1" fitToWidth="1" horizontalDpi="300" verticalDpi="300" orientation="landscape"/>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Q81"/>
  <sheetViews>
    <sheetView tabSelected="1" zoomScale="90" zoomScaleNormal="90" workbookViewId="0" topLeftCell="A1">
      <selection activeCell="H35" sqref="H35"/>
    </sheetView>
  </sheetViews>
  <sheetFormatPr defaultColWidth="12.57421875" defaultRowHeight="12.75"/>
  <cols>
    <col min="1" max="1" width="11.57421875" style="0" customWidth="1"/>
    <col min="2" max="2" width="34.7109375" style="0" customWidth="1"/>
    <col min="3" max="3" width="21.00390625" style="0" customWidth="1"/>
    <col min="4" max="4" width="29.7109375" style="0" customWidth="1"/>
    <col min="5" max="6" width="11.57421875" style="0" customWidth="1"/>
    <col min="7" max="7" width="16.140625" style="0" customWidth="1"/>
    <col min="8" max="8" width="14.57421875" style="0" customWidth="1"/>
    <col min="9" max="9" width="13.421875" style="0" customWidth="1"/>
    <col min="10" max="10" width="15.28125" style="0" customWidth="1"/>
    <col min="11" max="11" width="14.28125" style="0" customWidth="1"/>
    <col min="12" max="12" width="32.00390625" style="0" customWidth="1"/>
    <col min="13" max="13" width="41.28125" style="0" customWidth="1"/>
    <col min="14" max="14" width="14.28125" style="0" customWidth="1"/>
    <col min="15" max="15" width="11.57421875" style="0" customWidth="1"/>
    <col min="16" max="16" width="25.7109375" style="0" customWidth="1"/>
    <col min="17" max="17" width="13.57421875" style="0" customWidth="1"/>
    <col min="18" max="16384" width="11.57421875" style="0" customWidth="1"/>
  </cols>
  <sheetData>
    <row r="1" spans="1:17" ht="12.75">
      <c r="A1" s="367" t="s">
        <v>2162</v>
      </c>
      <c r="B1" s="367" t="s">
        <v>2163</v>
      </c>
      <c r="C1" s="367" t="s">
        <v>2164</v>
      </c>
      <c r="D1" s="367" t="s">
        <v>606</v>
      </c>
      <c r="E1" s="367" t="s">
        <v>2165</v>
      </c>
      <c r="F1" s="367" t="s">
        <v>2166</v>
      </c>
      <c r="G1" s="367" t="s">
        <v>2167</v>
      </c>
      <c r="H1" s="367" t="s">
        <v>2168</v>
      </c>
      <c r="I1" s="367" t="s">
        <v>533</v>
      </c>
      <c r="J1" s="367" t="s">
        <v>2169</v>
      </c>
      <c r="K1" s="367" t="s">
        <v>2170</v>
      </c>
      <c r="L1" s="367" t="s">
        <v>1406</v>
      </c>
      <c r="M1" s="367" t="s">
        <v>2171</v>
      </c>
      <c r="Q1" s="367"/>
    </row>
    <row r="2" spans="1:13" ht="12.75">
      <c r="A2" s="368">
        <v>42923</v>
      </c>
      <c r="B2" t="s">
        <v>2172</v>
      </c>
      <c r="C2" s="369">
        <v>195064</v>
      </c>
      <c r="D2" t="s">
        <v>2173</v>
      </c>
      <c r="E2" s="12"/>
      <c r="F2" s="12"/>
      <c r="G2" s="12"/>
      <c r="H2" s="12">
        <v>81.5</v>
      </c>
      <c r="I2" t="s">
        <v>2174</v>
      </c>
      <c r="K2" t="s">
        <v>2175</v>
      </c>
      <c r="M2" t="s">
        <v>2176</v>
      </c>
    </row>
    <row r="3" spans="1:13" ht="12.75">
      <c r="A3" s="368">
        <v>43437</v>
      </c>
      <c r="B3" t="s">
        <v>2172</v>
      </c>
      <c r="C3" s="369">
        <v>911878</v>
      </c>
      <c r="D3" t="s">
        <v>2177</v>
      </c>
      <c r="E3" s="12"/>
      <c r="F3" s="12"/>
      <c r="G3" s="12"/>
      <c r="H3" s="12">
        <v>363</v>
      </c>
      <c r="I3" t="s">
        <v>2174</v>
      </c>
      <c r="K3" t="s">
        <v>2175</v>
      </c>
      <c r="M3" t="s">
        <v>2176</v>
      </c>
    </row>
    <row r="4" spans="1:13" ht="12.75">
      <c r="A4" s="368">
        <v>43171</v>
      </c>
      <c r="B4" t="s">
        <v>2178</v>
      </c>
      <c r="C4" s="369">
        <v>501486</v>
      </c>
      <c r="D4" t="s">
        <v>2179</v>
      </c>
      <c r="E4" s="12"/>
      <c r="F4" s="12"/>
      <c r="G4" s="12"/>
      <c r="H4" s="12">
        <v>68.5</v>
      </c>
      <c r="I4" t="s">
        <v>2174</v>
      </c>
      <c r="K4" t="s">
        <v>2175</v>
      </c>
      <c r="M4" t="s">
        <v>2180</v>
      </c>
    </row>
    <row r="5" spans="1:13" ht="12.75">
      <c r="A5" s="368">
        <v>43171</v>
      </c>
      <c r="B5" t="s">
        <v>2181</v>
      </c>
      <c r="C5" s="369" t="s">
        <v>2182</v>
      </c>
      <c r="D5" t="s">
        <v>2146</v>
      </c>
      <c r="E5" s="12"/>
      <c r="F5" s="12"/>
      <c r="G5" s="12"/>
      <c r="H5" s="12">
        <v>3.55</v>
      </c>
      <c r="I5" t="s">
        <v>2146</v>
      </c>
      <c r="K5" t="s">
        <v>2183</v>
      </c>
      <c r="M5" t="s">
        <v>2184</v>
      </c>
    </row>
    <row r="6" spans="1:13" ht="12.75">
      <c r="A6" s="368">
        <v>43172</v>
      </c>
      <c r="B6" t="s">
        <v>2185</v>
      </c>
      <c r="C6" s="369" t="s">
        <v>2186</v>
      </c>
      <c r="D6" t="s">
        <v>2187</v>
      </c>
      <c r="E6" s="12"/>
      <c r="F6" s="12"/>
      <c r="G6" s="12"/>
      <c r="H6" s="12">
        <v>29658.01</v>
      </c>
      <c r="I6" t="s">
        <v>2188</v>
      </c>
      <c r="K6" t="s">
        <v>2183</v>
      </c>
      <c r="M6" t="s">
        <v>2189</v>
      </c>
    </row>
    <row r="7" spans="1:13" ht="12.75">
      <c r="A7" s="368">
        <v>43195</v>
      </c>
      <c r="B7" t="s">
        <v>2178</v>
      </c>
      <c r="C7" s="369" t="s">
        <v>2190</v>
      </c>
      <c r="D7" t="s">
        <v>2191</v>
      </c>
      <c r="E7" s="12"/>
      <c r="F7" s="12"/>
      <c r="G7" s="12"/>
      <c r="H7" s="12">
        <v>378.8</v>
      </c>
      <c r="I7" t="s">
        <v>2174</v>
      </c>
      <c r="K7" t="s">
        <v>2175</v>
      </c>
      <c r="M7" t="s">
        <v>2180</v>
      </c>
    </row>
    <row r="8" spans="1:13" ht="12.75">
      <c r="A8" s="368">
        <v>43188</v>
      </c>
      <c r="B8" t="s">
        <v>2178</v>
      </c>
      <c r="C8" s="369" t="s">
        <v>2192</v>
      </c>
      <c r="D8" t="s">
        <v>2193</v>
      </c>
      <c r="E8" s="12"/>
      <c r="F8" s="12"/>
      <c r="G8" s="12"/>
      <c r="H8" s="12">
        <v>400</v>
      </c>
      <c r="I8" t="s">
        <v>2174</v>
      </c>
      <c r="K8" t="s">
        <v>2175</v>
      </c>
      <c r="M8" t="s">
        <v>2194</v>
      </c>
    </row>
    <row r="9" spans="1:13" ht="12.75">
      <c r="A9" s="368">
        <v>43188</v>
      </c>
      <c r="B9" t="s">
        <v>2181</v>
      </c>
      <c r="C9" s="369" t="s">
        <v>2195</v>
      </c>
      <c r="D9" t="s">
        <v>2146</v>
      </c>
      <c r="E9" s="12"/>
      <c r="F9" s="12"/>
      <c r="G9" s="12"/>
      <c r="H9" s="12">
        <v>81.61</v>
      </c>
      <c r="I9" t="s">
        <v>2146</v>
      </c>
      <c r="K9" t="s">
        <v>2183</v>
      </c>
      <c r="M9" t="s">
        <v>2184</v>
      </c>
    </row>
    <row r="10" spans="1:13" ht="12.75">
      <c r="A10" s="368">
        <v>43249</v>
      </c>
      <c r="B10" t="s">
        <v>2181</v>
      </c>
      <c r="C10" s="369" t="s">
        <v>2196</v>
      </c>
      <c r="D10" t="s">
        <v>2146</v>
      </c>
      <c r="E10" s="12"/>
      <c r="F10" s="12"/>
      <c r="G10" s="12"/>
      <c r="H10" s="12">
        <v>94.99</v>
      </c>
      <c r="I10" t="s">
        <v>2146</v>
      </c>
      <c r="K10" t="s">
        <v>2183</v>
      </c>
      <c r="M10" t="s">
        <v>2184</v>
      </c>
    </row>
    <row r="11" spans="1:13" ht="12.75">
      <c r="A11" s="368">
        <v>43274</v>
      </c>
      <c r="B11" t="s">
        <v>2197</v>
      </c>
      <c r="C11" s="369" t="s">
        <v>2198</v>
      </c>
      <c r="D11" t="s">
        <v>2199</v>
      </c>
      <c r="E11" s="12"/>
      <c r="F11" s="12"/>
      <c r="G11" s="12"/>
      <c r="H11" s="12">
        <v>214</v>
      </c>
      <c r="I11" t="s">
        <v>2200</v>
      </c>
      <c r="J11" t="s">
        <v>2199</v>
      </c>
      <c r="K11" t="s">
        <v>2183</v>
      </c>
      <c r="M11" t="s">
        <v>2201</v>
      </c>
    </row>
    <row r="12" spans="1:13" ht="12.75">
      <c r="A12" s="368">
        <v>43266</v>
      </c>
      <c r="B12" t="s">
        <v>2202</v>
      </c>
      <c r="C12" s="369" t="s">
        <v>2203</v>
      </c>
      <c r="D12" t="s">
        <v>2204</v>
      </c>
      <c r="E12" s="12"/>
      <c r="H12" s="12">
        <v>450</v>
      </c>
      <c r="I12" t="s">
        <v>2200</v>
      </c>
      <c r="J12" t="s">
        <v>2205</v>
      </c>
      <c r="K12" t="s">
        <v>2175</v>
      </c>
      <c r="L12" t="s">
        <v>2206</v>
      </c>
      <c r="M12" t="s">
        <v>2207</v>
      </c>
    </row>
    <row r="13" spans="1:13" ht="12.75">
      <c r="A13" s="368">
        <v>43269</v>
      </c>
      <c r="B13" t="s">
        <v>2208</v>
      </c>
      <c r="C13" s="369" t="s">
        <v>2209</v>
      </c>
      <c r="D13" t="s">
        <v>2210</v>
      </c>
      <c r="E13" s="12"/>
      <c r="H13" s="12">
        <v>499.37</v>
      </c>
      <c r="I13" t="s">
        <v>2200</v>
      </c>
      <c r="J13" t="s">
        <v>2211</v>
      </c>
      <c r="K13" t="s">
        <v>2183</v>
      </c>
      <c r="M13" t="s">
        <v>2212</v>
      </c>
    </row>
    <row r="14" spans="1:13" ht="12.75">
      <c r="A14" s="368">
        <v>43270</v>
      </c>
      <c r="B14" t="s">
        <v>2178</v>
      </c>
      <c r="C14" s="369" t="s">
        <v>2213</v>
      </c>
      <c r="D14" t="s">
        <v>2214</v>
      </c>
      <c r="E14" s="12"/>
      <c r="F14" s="12"/>
      <c r="G14" s="12"/>
      <c r="H14" s="12">
        <v>4719.29</v>
      </c>
      <c r="I14" t="s">
        <v>2174</v>
      </c>
      <c r="K14" t="s">
        <v>2175</v>
      </c>
      <c r="M14" t="s">
        <v>2194</v>
      </c>
    </row>
    <row r="15" spans="1:13" ht="12.75">
      <c r="A15" s="368">
        <v>43270</v>
      </c>
      <c r="B15" t="s">
        <v>2178</v>
      </c>
      <c r="C15" s="369" t="s">
        <v>2213</v>
      </c>
      <c r="D15" t="s">
        <v>2215</v>
      </c>
      <c r="E15" s="12"/>
      <c r="F15" s="12"/>
      <c r="G15" s="12"/>
      <c r="H15" s="12">
        <v>150</v>
      </c>
      <c r="I15" t="s">
        <v>2174</v>
      </c>
      <c r="K15" t="s">
        <v>2175</v>
      </c>
      <c r="M15" t="s">
        <v>2194</v>
      </c>
    </row>
    <row r="16" spans="1:13" ht="12.75">
      <c r="A16" s="368">
        <v>43271</v>
      </c>
      <c r="B16" t="s">
        <v>2216</v>
      </c>
      <c r="C16" s="369" t="s">
        <v>2217</v>
      </c>
      <c r="D16" t="s">
        <v>2218</v>
      </c>
      <c r="E16" s="12"/>
      <c r="F16" s="12"/>
      <c r="G16" s="12"/>
      <c r="H16" s="12">
        <v>72.01</v>
      </c>
      <c r="I16" t="s">
        <v>2200</v>
      </c>
      <c r="J16" t="s">
        <v>2219</v>
      </c>
      <c r="K16" t="s">
        <v>2183</v>
      </c>
      <c r="M16" t="s">
        <v>2220</v>
      </c>
    </row>
    <row r="17" spans="1:13" ht="12.75">
      <c r="A17" s="368">
        <v>43274</v>
      </c>
      <c r="B17" t="s">
        <v>2216</v>
      </c>
      <c r="C17" s="369" t="s">
        <v>2221</v>
      </c>
      <c r="D17" t="s">
        <v>2222</v>
      </c>
      <c r="E17" s="12"/>
      <c r="F17" s="12"/>
      <c r="G17" s="12"/>
      <c r="H17" s="12">
        <v>58.47</v>
      </c>
      <c r="I17" t="s">
        <v>2222</v>
      </c>
      <c r="J17" t="s">
        <v>2223</v>
      </c>
      <c r="K17" t="s">
        <v>2183</v>
      </c>
      <c r="M17" t="s">
        <v>2224</v>
      </c>
    </row>
    <row r="18" spans="1:13" ht="12.75">
      <c r="A18" s="368">
        <v>43286</v>
      </c>
      <c r="B18" t="s">
        <v>2225</v>
      </c>
      <c r="C18" s="369"/>
      <c r="D18" t="s">
        <v>2226</v>
      </c>
      <c r="E18" s="12"/>
      <c r="F18" s="12"/>
      <c r="G18" s="12"/>
      <c r="H18" s="12">
        <v>35</v>
      </c>
      <c r="I18" t="s">
        <v>161</v>
      </c>
      <c r="K18" t="s">
        <v>2175</v>
      </c>
      <c r="M18" t="s">
        <v>2227</v>
      </c>
    </row>
    <row r="19" spans="1:13" ht="12.75">
      <c r="A19" s="368">
        <v>43286</v>
      </c>
      <c r="B19" t="s">
        <v>2208</v>
      </c>
      <c r="C19" s="369" t="s">
        <v>2228</v>
      </c>
      <c r="D19" t="s">
        <v>2229</v>
      </c>
      <c r="E19" s="12"/>
      <c r="H19" s="12">
        <v>35.36</v>
      </c>
      <c r="I19" t="s">
        <v>2200</v>
      </c>
      <c r="J19" t="s">
        <v>2229</v>
      </c>
      <c r="K19" t="s">
        <v>2230</v>
      </c>
      <c r="M19" t="s">
        <v>2231</v>
      </c>
    </row>
    <row r="20" spans="1:13" ht="12.75">
      <c r="A20" s="368">
        <v>43291</v>
      </c>
      <c r="B20" t="s">
        <v>2225</v>
      </c>
      <c r="C20" s="369" t="s">
        <v>2232</v>
      </c>
      <c r="D20" t="s">
        <v>2233</v>
      </c>
      <c r="E20" s="12"/>
      <c r="F20" s="12"/>
      <c r="G20" s="12"/>
      <c r="H20" s="12">
        <v>35</v>
      </c>
      <c r="I20" t="s">
        <v>2234</v>
      </c>
      <c r="J20" t="s">
        <v>2235</v>
      </c>
      <c r="K20" t="s">
        <v>2230</v>
      </c>
      <c r="M20" t="s">
        <v>2236</v>
      </c>
    </row>
    <row r="21" spans="1:13" ht="12.75">
      <c r="A21" s="368">
        <v>43300</v>
      </c>
      <c r="B21" t="s">
        <v>2178</v>
      </c>
      <c r="C21" s="369" t="s">
        <v>2237</v>
      </c>
      <c r="D21" t="s">
        <v>2238</v>
      </c>
      <c r="E21" s="12"/>
      <c r="F21" s="12"/>
      <c r="G21" s="12"/>
      <c r="H21" s="12">
        <v>2087.4</v>
      </c>
      <c r="I21" t="s">
        <v>2174</v>
      </c>
      <c r="K21" t="s">
        <v>2239</v>
      </c>
      <c r="M21" t="s">
        <v>2240</v>
      </c>
    </row>
    <row r="22" spans="1:13" ht="12.75">
      <c r="A22" s="368">
        <v>43304</v>
      </c>
      <c r="B22" t="s">
        <v>2241</v>
      </c>
      <c r="C22" s="369" t="s">
        <v>2242</v>
      </c>
      <c r="D22" t="s">
        <v>2243</v>
      </c>
      <c r="E22" s="12"/>
      <c r="F22" s="12"/>
      <c r="G22" s="12"/>
      <c r="H22" s="12">
        <v>1123.15</v>
      </c>
      <c r="I22" t="s">
        <v>2244</v>
      </c>
      <c r="J22" t="s">
        <v>2245</v>
      </c>
      <c r="K22" t="s">
        <v>2230</v>
      </c>
      <c r="M22" t="s">
        <v>2246</v>
      </c>
    </row>
    <row r="23" spans="1:13" ht="12.75">
      <c r="A23" s="368">
        <v>43306</v>
      </c>
      <c r="B23" t="s">
        <v>2247</v>
      </c>
      <c r="C23" s="369" t="s">
        <v>2248</v>
      </c>
      <c r="D23" t="s">
        <v>2249</v>
      </c>
      <c r="E23" s="12"/>
      <c r="F23" s="12"/>
      <c r="G23" s="12"/>
      <c r="H23" s="12">
        <v>316.39</v>
      </c>
      <c r="I23" t="s">
        <v>2244</v>
      </c>
      <c r="J23" t="s">
        <v>2250</v>
      </c>
      <c r="K23" t="s">
        <v>2230</v>
      </c>
      <c r="M23" t="s">
        <v>2251</v>
      </c>
    </row>
    <row r="24" spans="1:13" ht="12.75">
      <c r="A24" s="368">
        <v>43306</v>
      </c>
      <c r="B24" t="s">
        <v>2247</v>
      </c>
      <c r="C24" s="369" t="s">
        <v>2252</v>
      </c>
      <c r="D24" t="s">
        <v>2253</v>
      </c>
      <c r="E24" s="12"/>
      <c r="F24" s="12"/>
      <c r="G24" s="12"/>
      <c r="H24" s="12">
        <v>29.48</v>
      </c>
      <c r="I24" t="s">
        <v>2244</v>
      </c>
      <c r="J24" t="s">
        <v>667</v>
      </c>
      <c r="K24" t="s">
        <v>2230</v>
      </c>
      <c r="M24" t="s">
        <v>2251</v>
      </c>
    </row>
    <row r="25" spans="1:13" ht="12.75">
      <c r="A25" s="368">
        <v>43307</v>
      </c>
      <c r="B25" t="s">
        <v>2216</v>
      </c>
      <c r="C25" s="369" t="s">
        <v>2254</v>
      </c>
      <c r="D25" t="s">
        <v>2222</v>
      </c>
      <c r="E25" s="12"/>
      <c r="F25" s="12"/>
      <c r="G25" s="12"/>
      <c r="H25" s="12">
        <v>28.08</v>
      </c>
      <c r="I25" t="s">
        <v>2222</v>
      </c>
      <c r="J25" t="s">
        <v>667</v>
      </c>
      <c r="K25" t="s">
        <v>2230</v>
      </c>
      <c r="M25" t="s">
        <v>2255</v>
      </c>
    </row>
    <row r="26" spans="1:2" ht="12.75">
      <c r="A26" s="368">
        <v>43321</v>
      </c>
      <c r="B26" t="s">
        <v>2256</v>
      </c>
    </row>
    <row r="27" spans="3:8" ht="12.75">
      <c r="C27" s="369"/>
      <c r="E27" s="12"/>
      <c r="F27" s="12"/>
      <c r="G27" s="12"/>
      <c r="H27" s="12"/>
    </row>
    <row r="28" spans="1:13" ht="12.75">
      <c r="A28" s="368">
        <v>43392</v>
      </c>
      <c r="B28" t="s">
        <v>2257</v>
      </c>
      <c r="C28" s="369" t="s">
        <v>2258</v>
      </c>
      <c r="D28" t="s">
        <v>2259</v>
      </c>
      <c r="E28" s="12"/>
      <c r="F28" s="12"/>
      <c r="G28" s="12"/>
      <c r="H28" s="12">
        <v>975</v>
      </c>
      <c r="I28" t="s">
        <v>2260</v>
      </c>
      <c r="J28" t="s">
        <v>2261</v>
      </c>
      <c r="K28" t="s">
        <v>2262</v>
      </c>
      <c r="M28" t="s">
        <v>2263</v>
      </c>
    </row>
    <row r="29" spans="1:13" ht="12.75">
      <c r="A29" s="368">
        <v>43392</v>
      </c>
      <c r="B29" t="s">
        <v>2264</v>
      </c>
      <c r="C29" s="369" t="s">
        <v>2265</v>
      </c>
      <c r="D29" t="s">
        <v>2266</v>
      </c>
      <c r="E29" s="12"/>
      <c r="F29" s="12"/>
      <c r="G29" s="12"/>
      <c r="H29" s="12">
        <v>251.2</v>
      </c>
      <c r="I29" t="s">
        <v>2267</v>
      </c>
      <c r="J29" t="s">
        <v>2268</v>
      </c>
      <c r="K29" t="s">
        <v>2230</v>
      </c>
      <c r="M29" t="s">
        <v>2269</v>
      </c>
    </row>
    <row r="30" spans="1:13" ht="12.75">
      <c r="A30" s="368">
        <v>43392</v>
      </c>
      <c r="B30" t="s">
        <v>2270</v>
      </c>
      <c r="C30" s="369" t="s">
        <v>2271</v>
      </c>
      <c r="D30" t="s">
        <v>2272</v>
      </c>
      <c r="E30" s="12"/>
      <c r="F30" s="12"/>
      <c r="G30" s="12"/>
      <c r="H30" s="12">
        <v>200.37</v>
      </c>
      <c r="I30" t="s">
        <v>2267</v>
      </c>
      <c r="J30" t="s">
        <v>2200</v>
      </c>
      <c r="K30" t="s">
        <v>2230</v>
      </c>
      <c r="M30" t="s">
        <v>2273</v>
      </c>
    </row>
    <row r="31" spans="1:13" ht="12.75">
      <c r="A31" s="368">
        <v>43394</v>
      </c>
      <c r="B31" t="s">
        <v>2264</v>
      </c>
      <c r="C31" s="369" t="s">
        <v>2274</v>
      </c>
      <c r="D31" t="s">
        <v>2275</v>
      </c>
      <c r="E31" s="12"/>
      <c r="F31" s="12"/>
      <c r="G31" s="12"/>
      <c r="H31" s="12">
        <v>116.73</v>
      </c>
      <c r="I31" t="s">
        <v>2275</v>
      </c>
      <c r="J31" t="s">
        <v>2276</v>
      </c>
      <c r="K31" t="s">
        <v>2230</v>
      </c>
      <c r="M31" t="s">
        <v>2277</v>
      </c>
    </row>
    <row r="32" spans="1:13" ht="12.75">
      <c r="A32" s="368">
        <v>43398</v>
      </c>
      <c r="B32" t="s">
        <v>2264</v>
      </c>
      <c r="C32" s="369" t="s">
        <v>2278</v>
      </c>
      <c r="D32" t="s">
        <v>2267</v>
      </c>
      <c r="E32" s="12"/>
      <c r="F32" s="12"/>
      <c r="G32" s="12"/>
      <c r="H32" s="12">
        <v>180.37</v>
      </c>
      <c r="I32" t="s">
        <v>2267</v>
      </c>
      <c r="J32" t="s">
        <v>2279</v>
      </c>
      <c r="K32" t="s">
        <v>2230</v>
      </c>
      <c r="M32" t="s">
        <v>2280</v>
      </c>
    </row>
    <row r="33" spans="3:8" ht="12.75">
      <c r="C33" s="369"/>
      <c r="E33" s="12"/>
      <c r="F33" s="12"/>
      <c r="G33" s="12"/>
      <c r="H33" s="12"/>
    </row>
    <row r="34" spans="3:8" ht="12.75">
      <c r="C34" s="369"/>
      <c r="E34" s="12"/>
      <c r="F34" s="12"/>
      <c r="G34" s="12"/>
      <c r="H34" s="12"/>
    </row>
    <row r="35" spans="3:8" ht="12.75">
      <c r="C35" s="369"/>
      <c r="E35" s="12"/>
      <c r="F35" s="12"/>
      <c r="G35" s="12"/>
      <c r="H35" s="12"/>
    </row>
    <row r="36" spans="1:8" ht="12.75">
      <c r="A36" s="53"/>
      <c r="B36" s="53"/>
      <c r="C36" s="370"/>
      <c r="D36" s="53"/>
      <c r="E36" s="371"/>
      <c r="F36" s="371"/>
      <c r="G36" s="371"/>
      <c r="H36" s="371"/>
    </row>
    <row r="37" spans="1:8" ht="12.75">
      <c r="A37" s="368"/>
      <c r="C37" s="369"/>
      <c r="E37" s="12"/>
      <c r="H37" s="12"/>
    </row>
    <row r="38" spans="1:8" ht="12.75">
      <c r="A38" s="368"/>
      <c r="C38" s="369"/>
      <c r="E38" s="12"/>
      <c r="H38" s="12"/>
    </row>
    <row r="39" spans="1:8" ht="12.75">
      <c r="A39" s="368"/>
      <c r="C39" s="369"/>
      <c r="E39" s="12"/>
      <c r="F39" s="12"/>
      <c r="G39" s="12"/>
      <c r="H39" s="12"/>
    </row>
    <row r="40" spans="3:8" ht="12.75">
      <c r="C40" s="369"/>
      <c r="E40" s="12"/>
      <c r="F40" s="12"/>
      <c r="G40" s="12"/>
      <c r="H40" s="12"/>
    </row>
    <row r="41" spans="1:8" ht="12.75">
      <c r="A41" s="368"/>
      <c r="C41" s="369"/>
      <c r="E41" s="12"/>
      <c r="F41" s="12"/>
      <c r="G41" s="12"/>
      <c r="H41" s="12"/>
    </row>
    <row r="42" spans="1:8" ht="12.75">
      <c r="A42" s="368"/>
      <c r="C42" s="369"/>
      <c r="E42" s="12"/>
      <c r="H42" s="12"/>
    </row>
    <row r="43" spans="1:8" ht="12.75">
      <c r="A43" s="368"/>
      <c r="C43" s="369"/>
      <c r="E43" s="12"/>
      <c r="H43" s="12"/>
    </row>
    <row r="44" spans="1:8" ht="12.75">
      <c r="A44" s="368"/>
      <c r="C44" s="369"/>
      <c r="E44" s="12"/>
      <c r="F44" s="12"/>
      <c r="G44" s="12"/>
      <c r="H44" s="12"/>
    </row>
    <row r="45" spans="1:8" ht="12.75">
      <c r="A45" s="368"/>
      <c r="C45" s="369"/>
      <c r="E45" s="12"/>
      <c r="F45" s="12"/>
      <c r="G45" s="12"/>
      <c r="H45" s="12"/>
    </row>
    <row r="46" spans="1:8" ht="12.75">
      <c r="A46" s="368"/>
      <c r="C46" s="369"/>
      <c r="E46" s="12"/>
      <c r="F46" s="12"/>
      <c r="G46" s="12"/>
      <c r="H46" s="12"/>
    </row>
    <row r="47" spans="1:8" ht="12.75">
      <c r="A47" s="368"/>
      <c r="C47" s="369"/>
      <c r="E47" s="12"/>
      <c r="F47" s="12"/>
      <c r="G47" s="12"/>
      <c r="H47" s="12"/>
    </row>
    <row r="48" spans="1:8" ht="12.75">
      <c r="A48" s="368"/>
      <c r="C48" s="369"/>
      <c r="E48" s="12"/>
      <c r="F48" s="12"/>
      <c r="G48" s="12"/>
      <c r="H48" s="12"/>
    </row>
    <row r="49" spans="3:8" ht="12.75">
      <c r="C49" s="369"/>
      <c r="E49" s="12"/>
      <c r="F49" s="12"/>
      <c r="G49" s="12"/>
      <c r="H49" s="12"/>
    </row>
    <row r="50" spans="3:8" ht="12.75">
      <c r="C50" s="369"/>
      <c r="E50" s="12"/>
      <c r="F50" s="12"/>
      <c r="G50" s="12"/>
      <c r="H50" s="12"/>
    </row>
    <row r="51" spans="3:8" ht="12.75">
      <c r="C51" s="369"/>
      <c r="E51" s="12"/>
      <c r="F51" s="12"/>
      <c r="G51" s="12"/>
      <c r="H51" s="12"/>
    </row>
    <row r="52" spans="3:8" ht="12.75">
      <c r="C52" s="369"/>
      <c r="E52" s="12"/>
      <c r="F52" s="12"/>
      <c r="G52" s="12"/>
      <c r="H52" s="12"/>
    </row>
    <row r="53" spans="3:8" ht="12.75">
      <c r="C53" s="369"/>
      <c r="E53" s="12"/>
      <c r="F53" s="12"/>
      <c r="G53" s="12"/>
      <c r="H53" s="12"/>
    </row>
    <row r="54" spans="3:8" ht="12.75">
      <c r="C54" s="369"/>
      <c r="E54" s="12"/>
      <c r="F54" s="12"/>
      <c r="G54" s="12"/>
      <c r="H54" s="12"/>
    </row>
    <row r="55" spans="3:8" ht="12.75">
      <c r="C55" s="369"/>
      <c r="E55" s="12"/>
      <c r="F55" s="12"/>
      <c r="G55" s="12"/>
      <c r="H55" s="12">
        <f>SUM(H2:H54)</f>
        <v>42706.63000000001</v>
      </c>
    </row>
    <row r="56" spans="3:8" ht="12.75">
      <c r="C56" s="369"/>
      <c r="E56" s="12"/>
      <c r="F56" s="12"/>
      <c r="G56" s="12"/>
      <c r="H56" s="12"/>
    </row>
    <row r="57" spans="3:8" ht="12.75">
      <c r="C57" s="372"/>
      <c r="E57" s="12"/>
      <c r="F57" s="12"/>
      <c r="G57" s="12"/>
      <c r="H57" s="12"/>
    </row>
    <row r="58" spans="3:8" ht="12.75">
      <c r="C58" s="372"/>
      <c r="E58" s="12"/>
      <c r="F58" s="12"/>
      <c r="G58" s="12"/>
      <c r="H58" s="12"/>
    </row>
    <row r="59" spans="3:8" ht="12.75">
      <c r="C59" s="372"/>
      <c r="E59" s="12"/>
      <c r="F59" s="12"/>
      <c r="G59" s="12"/>
      <c r="H59" s="12"/>
    </row>
    <row r="60" spans="3:8" ht="12.75">
      <c r="C60" s="372"/>
      <c r="E60" s="12"/>
      <c r="F60" s="12"/>
      <c r="G60" s="12"/>
      <c r="H60" s="12"/>
    </row>
    <row r="61" spans="3:8" ht="12.75">
      <c r="C61" s="372"/>
      <c r="E61" s="12"/>
      <c r="F61" s="12"/>
      <c r="G61" s="12"/>
      <c r="H61" s="12"/>
    </row>
    <row r="62" ht="12.75">
      <c r="C62" s="372"/>
    </row>
    <row r="63" ht="12.75">
      <c r="C63" s="372"/>
    </row>
    <row r="64" ht="12.75">
      <c r="C64" s="372"/>
    </row>
    <row r="65" ht="12.75">
      <c r="C65" s="372"/>
    </row>
    <row r="66" ht="12.75">
      <c r="C66" s="372"/>
    </row>
    <row r="67" ht="12.75">
      <c r="C67" s="372"/>
    </row>
    <row r="68" ht="12.75">
      <c r="C68" s="372"/>
    </row>
    <row r="69" ht="12.75">
      <c r="C69" s="372"/>
    </row>
    <row r="70" ht="12.75">
      <c r="C70" s="372"/>
    </row>
    <row r="71" ht="12.75">
      <c r="C71" s="372"/>
    </row>
    <row r="72" ht="12.75">
      <c r="C72" s="372"/>
    </row>
    <row r="73" ht="12.75">
      <c r="C73" s="372"/>
    </row>
    <row r="74" ht="12.75">
      <c r="C74" s="372"/>
    </row>
    <row r="75" ht="12.75">
      <c r="C75" s="372"/>
    </row>
    <row r="76" ht="12.75">
      <c r="C76" s="372"/>
    </row>
    <row r="77" ht="12.75">
      <c r="C77" s="372"/>
    </row>
    <row r="78" ht="12.75">
      <c r="C78" s="372"/>
    </row>
    <row r="79" ht="12.75">
      <c r="C79" s="372"/>
    </row>
    <row r="80" ht="12.75">
      <c r="C80" s="372"/>
    </row>
    <row r="81" ht="12.75">
      <c r="C81" s="37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8"/>
  <sheetViews>
    <sheetView zoomScale="90" zoomScaleNormal="90" workbookViewId="0" topLeftCell="A1">
      <selection activeCell="A38" sqref="A38"/>
    </sheetView>
  </sheetViews>
  <sheetFormatPr defaultColWidth="12.57421875" defaultRowHeight="12.75"/>
  <cols>
    <col min="1" max="1" width="49.7109375" style="0" customWidth="1"/>
    <col min="2" max="2" width="18.00390625" style="0" customWidth="1"/>
    <col min="3" max="3" width="16.7109375" style="0" customWidth="1"/>
    <col min="4" max="4" width="10.57421875" style="0" customWidth="1"/>
    <col min="5" max="5" width="15.7109375" style="0" customWidth="1"/>
    <col min="6" max="6" width="15.421875" style="0" customWidth="1"/>
    <col min="7" max="7" width="12.00390625" style="0" customWidth="1"/>
    <col min="8" max="11" width="11.57421875" style="0" customWidth="1"/>
    <col min="12" max="12" width="32.00390625" style="0" customWidth="1"/>
    <col min="13" max="13" width="10.7109375" style="0" customWidth="1"/>
    <col min="14" max="14" width="16.57421875" style="0" customWidth="1"/>
    <col min="15" max="16384" width="11.57421875" style="0" customWidth="1"/>
  </cols>
  <sheetData>
    <row r="1" spans="1:15" ht="12.75">
      <c r="A1" s="51" t="s">
        <v>89</v>
      </c>
      <c r="B1" s="51"/>
      <c r="C1" s="51"/>
      <c r="D1" s="51"/>
      <c r="E1" s="51"/>
      <c r="F1" s="51"/>
      <c r="L1" s="52"/>
      <c r="M1" s="52"/>
      <c r="N1" s="52"/>
      <c r="O1" s="52"/>
    </row>
    <row r="2" spans="1:15" ht="12.75">
      <c r="A2" s="31" t="s">
        <v>2</v>
      </c>
      <c r="B2" s="53" t="s">
        <v>3</v>
      </c>
      <c r="C2" s="53" t="s">
        <v>90</v>
      </c>
      <c r="D2" s="53" t="s">
        <v>91</v>
      </c>
      <c r="E2" s="53" t="s">
        <v>5</v>
      </c>
      <c r="F2" s="54" t="s">
        <v>6</v>
      </c>
      <c r="L2" s="52" t="s">
        <v>92</v>
      </c>
      <c r="M2" s="52"/>
      <c r="N2" s="52"/>
      <c r="O2" s="52"/>
    </row>
    <row r="3" spans="1:15" ht="12.75">
      <c r="A3" s="55" t="s">
        <v>93</v>
      </c>
      <c r="B3" s="12"/>
      <c r="C3" s="12"/>
      <c r="D3" s="12"/>
      <c r="E3" s="12"/>
      <c r="F3" s="56"/>
      <c r="G3" s="12">
        <f>SUM(F4:F24)</f>
        <v>52439.33267391751</v>
      </c>
      <c r="H3" t="s">
        <v>65</v>
      </c>
      <c r="I3" t="s">
        <v>66</v>
      </c>
      <c r="L3" s="42"/>
      <c r="M3" s="57"/>
      <c r="N3" s="57" t="s">
        <v>94</v>
      </c>
      <c r="O3" s="7" t="s">
        <v>95</v>
      </c>
    </row>
    <row r="4" spans="1:18" ht="12.75">
      <c r="A4" s="58" t="s">
        <v>96</v>
      </c>
      <c r="B4" s="12"/>
      <c r="C4" s="12"/>
      <c r="D4" s="12"/>
      <c r="E4" s="12"/>
      <c r="F4" s="56">
        <f>B4+C4+D4+E4</f>
        <v>0</v>
      </c>
      <c r="H4">
        <v>60</v>
      </c>
      <c r="L4" s="59" t="s">
        <v>97</v>
      </c>
      <c r="M4" s="60" t="s">
        <v>98</v>
      </c>
      <c r="N4" s="57">
        <f>M5</f>
        <v>34</v>
      </c>
      <c r="O4" s="7">
        <v>0</v>
      </c>
      <c r="R4" s="22">
        <f>7776+2400+4461+1792+3200+309+500+600+2500+4832+774+200+704+250+200+150+600+1309+750</f>
        <v>33307</v>
      </c>
    </row>
    <row r="5" spans="1:15" ht="12.75">
      <c r="A5" s="61" t="s">
        <v>99</v>
      </c>
      <c r="B5" s="12">
        <v>29658.01</v>
      </c>
      <c r="C5" s="12"/>
      <c r="D5" s="12"/>
      <c r="E5" s="12"/>
      <c r="F5" s="56">
        <f>B5+C5+D5+E5</f>
        <v>29658.01</v>
      </c>
      <c r="H5">
        <v>120</v>
      </c>
      <c r="L5" s="62" t="s">
        <v>100</v>
      </c>
      <c r="M5" s="63">
        <v>34</v>
      </c>
      <c r="N5" s="57">
        <v>0</v>
      </c>
      <c r="O5" s="7">
        <v>0</v>
      </c>
    </row>
    <row r="6" spans="1:15" ht="12.75">
      <c r="A6" s="58" t="s">
        <v>101</v>
      </c>
      <c r="B6" s="12">
        <f>M24*Retail_Prices!H10*1.15</f>
        <v>748.5033111111111</v>
      </c>
      <c r="C6" s="12"/>
      <c r="D6" s="12"/>
      <c r="E6" s="12"/>
      <c r="F6" s="56">
        <f>B6+C6+D6+E6</f>
        <v>748.5033111111111</v>
      </c>
      <c r="H6">
        <v>10</v>
      </c>
      <c r="L6" s="62" t="s">
        <v>102</v>
      </c>
      <c r="M6" s="63">
        <v>54</v>
      </c>
      <c r="N6" s="57">
        <v>0</v>
      </c>
      <c r="O6" s="7">
        <f>M6</f>
        <v>54</v>
      </c>
    </row>
    <row r="7" spans="1:13" ht="12.75">
      <c r="A7" s="58" t="s">
        <v>103</v>
      </c>
      <c r="B7" s="12">
        <f>M27*Retail_Prices!H10*1.15</f>
        <v>4461.8574</v>
      </c>
      <c r="C7" s="12">
        <f>6*8*50</f>
        <v>2400</v>
      </c>
      <c r="D7" s="12"/>
      <c r="E7" s="12"/>
      <c r="F7" s="56">
        <f>B7+C7+D7+E7</f>
        <v>6861.8574</v>
      </c>
      <c r="H7">
        <v>10</v>
      </c>
      <c r="L7" s="62" t="s">
        <v>104</v>
      </c>
      <c r="M7" s="63">
        <v>34</v>
      </c>
    </row>
    <row r="8" spans="1:13" ht="12.75">
      <c r="A8" s="58" t="s">
        <v>105</v>
      </c>
      <c r="B8" s="12">
        <f>M26*Retail_Prices!H11*1.15</f>
        <v>910.2189095999998</v>
      </c>
      <c r="C8" s="12"/>
      <c r="D8" s="12"/>
      <c r="E8" s="12"/>
      <c r="F8" s="56">
        <f>B8+C8+D8+E8</f>
        <v>910.2189095999998</v>
      </c>
      <c r="H8">
        <v>10</v>
      </c>
      <c r="L8" s="62" t="s">
        <v>106</v>
      </c>
      <c r="M8" s="63">
        <v>54</v>
      </c>
    </row>
    <row r="9" spans="1:13" ht="12.75">
      <c r="A9" s="58" t="s">
        <v>107</v>
      </c>
      <c r="B9" s="12">
        <f>M25*Retail_Prices!H13*1.2</f>
        <v>306.08113536</v>
      </c>
      <c r="C9" s="12"/>
      <c r="D9" s="12"/>
      <c r="E9" s="12"/>
      <c r="F9" s="56">
        <f>B9+C9+D9+E9</f>
        <v>306.08113536</v>
      </c>
      <c r="H9">
        <v>2</v>
      </c>
      <c r="L9" s="62" t="s">
        <v>108</v>
      </c>
      <c r="M9" s="63">
        <v>12</v>
      </c>
    </row>
    <row r="10" spans="1:13" ht="12.75">
      <c r="A10" s="58" t="s">
        <v>109</v>
      </c>
      <c r="B10" s="12">
        <f>M28*Retail_Prices!H13*1.15</f>
        <v>1503.7428298464</v>
      </c>
      <c r="C10" s="12"/>
      <c r="D10" s="12"/>
      <c r="E10" s="12"/>
      <c r="F10" s="56">
        <f>B10+C10+D10+E10</f>
        <v>1503.7428298464</v>
      </c>
      <c r="H10">
        <v>10</v>
      </c>
      <c r="L10" s="62" t="s">
        <v>110</v>
      </c>
      <c r="M10" s="63">
        <v>54</v>
      </c>
    </row>
    <row r="11" spans="1:13" ht="12.75">
      <c r="A11" s="58" t="s">
        <v>111</v>
      </c>
      <c r="B11" s="12">
        <f>4691+(4691*0.03)</f>
        <v>4831.73</v>
      </c>
      <c r="C11" s="12"/>
      <c r="D11" s="12"/>
      <c r="E11" s="12"/>
      <c r="F11" s="56">
        <f>B11+C11+D11+E11</f>
        <v>4831.73</v>
      </c>
      <c r="H11">
        <v>20</v>
      </c>
      <c r="L11" s="62" t="s">
        <v>112</v>
      </c>
      <c r="M11" s="63">
        <v>12</v>
      </c>
    </row>
    <row r="12" spans="1:13" ht="12.75">
      <c r="A12" s="58" t="s">
        <v>113</v>
      </c>
      <c r="B12" s="12"/>
      <c r="C12" s="12"/>
      <c r="D12" s="12"/>
      <c r="E12" s="12"/>
      <c r="F12" s="56">
        <f>B12+C12+D12+E12</f>
        <v>0</v>
      </c>
      <c r="H12">
        <v>20</v>
      </c>
      <c r="L12" s="62" t="s">
        <v>114</v>
      </c>
      <c r="M12" s="63">
        <v>54</v>
      </c>
    </row>
    <row r="13" spans="1:13" ht="12.75">
      <c r="A13" t="s">
        <v>115</v>
      </c>
      <c r="B13" s="12">
        <v>100</v>
      </c>
      <c r="F13" s="56">
        <f>B13+C13+D13+E13</f>
        <v>100</v>
      </c>
      <c r="H13">
        <v>4</v>
      </c>
      <c r="L13" s="62" t="s">
        <v>116</v>
      </c>
      <c r="M13" s="63">
        <f>34*2+14*2+6+14</f>
        <v>116</v>
      </c>
    </row>
    <row r="14" spans="1:15" ht="12.75">
      <c r="A14" s="58" t="s">
        <v>117</v>
      </c>
      <c r="B14" s="12">
        <f>4*Retail_Prices!H216</f>
        <v>704.2464</v>
      </c>
      <c r="C14" s="12"/>
      <c r="D14" s="12"/>
      <c r="E14" s="12"/>
      <c r="F14" s="56">
        <f>B14+C14+D14+E14</f>
        <v>704.2464</v>
      </c>
      <c r="H14">
        <v>4</v>
      </c>
      <c r="L14" s="62" t="s">
        <v>118</v>
      </c>
      <c r="M14" s="64">
        <v>16</v>
      </c>
      <c r="N14" s="57"/>
      <c r="O14" s="7"/>
    </row>
    <row r="15" spans="1:15" ht="12.75">
      <c r="A15" s="58" t="s">
        <v>119</v>
      </c>
      <c r="B15" s="12">
        <f>2*Retail_Prices!H163</f>
        <v>1682.3663999999999</v>
      </c>
      <c r="C15" s="12"/>
      <c r="D15" s="12"/>
      <c r="E15" s="12"/>
      <c r="F15" s="56">
        <f>B15+C15+D15+E15</f>
        <v>1682.3663999999999</v>
      </c>
      <c r="H15">
        <v>4</v>
      </c>
      <c r="L15" s="62" t="s">
        <v>120</v>
      </c>
      <c r="M15" s="64">
        <f>6/12</f>
        <v>0.5</v>
      </c>
      <c r="O15" s="7"/>
    </row>
    <row r="16" spans="1:15" ht="12.75">
      <c r="A16" s="58" t="s">
        <v>121</v>
      </c>
      <c r="B16" s="12">
        <f>Retail_Prices!H165</f>
        <v>1123.7512</v>
      </c>
      <c r="C16" s="12"/>
      <c r="D16" s="12"/>
      <c r="E16" s="12"/>
      <c r="F16" s="56">
        <f>B16+C16+D16+E16</f>
        <v>1123.7512</v>
      </c>
      <c r="H16">
        <v>2</v>
      </c>
      <c r="L16" s="62" t="s">
        <v>122</v>
      </c>
      <c r="M16" s="64">
        <f>4/12</f>
        <v>0.3333333333333333</v>
      </c>
      <c r="O16" s="7"/>
    </row>
    <row r="17" spans="1:15" ht="12.75">
      <c r="A17" s="65" t="s">
        <v>123</v>
      </c>
      <c r="B17" s="66">
        <f>6*Retail_Prices!H217</f>
        <v>308.825088</v>
      </c>
      <c r="C17" s="66"/>
      <c r="D17" s="66"/>
      <c r="E17" s="66"/>
      <c r="F17" s="67">
        <f>B17+C17+D17+E17</f>
        <v>308.825088</v>
      </c>
      <c r="H17">
        <v>8</v>
      </c>
      <c r="L17" s="62" t="s">
        <v>124</v>
      </c>
      <c r="M17" s="64">
        <v>1</v>
      </c>
      <c r="O17" s="7"/>
    </row>
    <row r="18" spans="1:15" ht="12.75">
      <c r="A18" s="65" t="s">
        <v>125</v>
      </c>
      <c r="B18" s="66">
        <v>500</v>
      </c>
      <c r="C18" s="68"/>
      <c r="D18" s="68"/>
      <c r="E18" s="68"/>
      <c r="F18" s="67">
        <f>B18+C18+D18+E18</f>
        <v>500</v>
      </c>
      <c r="H18">
        <v>40</v>
      </c>
      <c r="L18" s="62" t="s">
        <v>126</v>
      </c>
      <c r="M18" s="64">
        <v>0.5</v>
      </c>
      <c r="O18" s="7"/>
    </row>
    <row r="19" spans="1:15" ht="12.75">
      <c r="A19" s="58" t="s">
        <v>127</v>
      </c>
      <c r="C19" s="12">
        <f>1*4*40*20</f>
        <v>3200</v>
      </c>
      <c r="F19" s="56">
        <f>B19+C19+D19+E19</f>
        <v>3200</v>
      </c>
      <c r="L19" s="69" t="s">
        <v>128</v>
      </c>
      <c r="M19" s="70">
        <f>M5+M6+M7+M8</f>
        <v>176</v>
      </c>
      <c r="N19" s="57"/>
      <c r="O19" s="7"/>
    </row>
    <row r="20" spans="1:15" ht="12.75">
      <c r="A20" s="65"/>
      <c r="B20" s="66"/>
      <c r="C20" s="66"/>
      <c r="D20" s="66"/>
      <c r="E20" s="66"/>
      <c r="F20" s="67"/>
      <c r="G20" s="71"/>
      <c r="H20" s="68"/>
      <c r="L20" s="69" t="s">
        <v>129</v>
      </c>
      <c r="M20" s="70">
        <f>M5*M6</f>
        <v>1836</v>
      </c>
      <c r="O20" s="7"/>
    </row>
    <row r="21" spans="12:15" ht="12.75">
      <c r="L21" s="42" t="s">
        <v>130</v>
      </c>
      <c r="M21" s="72">
        <f>M19*M14</f>
        <v>2816</v>
      </c>
      <c r="N21" s="57"/>
      <c r="O21" s="7"/>
    </row>
    <row r="22" spans="12:15" ht="12.75">
      <c r="L22" s="42" t="s">
        <v>131</v>
      </c>
      <c r="M22" s="72">
        <v>1893</v>
      </c>
      <c r="O22" s="7"/>
    </row>
    <row r="23" spans="1:15" ht="12.75">
      <c r="A23" s="58"/>
      <c r="F23" s="56">
        <f>B23+C23+D23+E23</f>
        <v>0</v>
      </c>
      <c r="L23" s="42" t="s">
        <v>132</v>
      </c>
      <c r="M23" s="70">
        <f>M21+M22</f>
        <v>4709</v>
      </c>
      <c r="N23" s="57"/>
      <c r="O23" s="7"/>
    </row>
    <row r="24" spans="1:15" ht="12.75">
      <c r="A24" s="58"/>
      <c r="F24" s="56">
        <f>B24+C24+D24+E24</f>
        <v>0</v>
      </c>
      <c r="G24" s="12"/>
      <c r="H24" s="12"/>
      <c r="I24" s="73">
        <f>SUM(H4:H24)</f>
        <v>324</v>
      </c>
      <c r="L24" s="42" t="s">
        <v>133</v>
      </c>
      <c r="M24" s="22">
        <f>SUM(M5:M12)*M17*M18/27</f>
        <v>5.703703703703703</v>
      </c>
      <c r="O24" s="7"/>
    </row>
    <row r="25" spans="1:15" ht="12.75">
      <c r="A25" s="55" t="s">
        <v>134</v>
      </c>
      <c r="B25" s="12"/>
      <c r="C25" s="12"/>
      <c r="D25" s="12"/>
      <c r="E25" s="12"/>
      <c r="F25" s="56">
        <f>B25+C25+D25+E25</f>
        <v>0</v>
      </c>
      <c r="G25" s="12">
        <f>SUM(F25:F46)</f>
        <v>10591.16337385</v>
      </c>
      <c r="L25" s="42" t="s">
        <v>135</v>
      </c>
      <c r="M25" s="22">
        <f>SUM(M5:M12)*2</f>
        <v>616</v>
      </c>
      <c r="O25" s="7"/>
    </row>
    <row r="26" spans="1:15" ht="12.75">
      <c r="A26" s="74" t="s">
        <v>136</v>
      </c>
      <c r="B26" s="75">
        <f>(M13/2)*Retail_Prices!G20*1.15</f>
        <v>352.2992616</v>
      </c>
      <c r="C26" s="75"/>
      <c r="D26" s="75"/>
      <c r="E26" s="75"/>
      <c r="F26" s="76">
        <f>B26+C26+D26+E26</f>
        <v>352.2992616</v>
      </c>
      <c r="H26">
        <v>40</v>
      </c>
      <c r="L26" s="42" t="s">
        <v>137</v>
      </c>
      <c r="M26" s="22">
        <f>M20*M16</f>
        <v>612</v>
      </c>
      <c r="O26" s="7"/>
    </row>
    <row r="27" spans="1:15" ht="12.75">
      <c r="A27" s="74" t="s">
        <v>138</v>
      </c>
      <c r="B27" s="75">
        <f>M13*3*Retail_Prices!H20*1.15</f>
        <v>264.2244462</v>
      </c>
      <c r="C27" s="75"/>
      <c r="D27" s="75"/>
      <c r="E27" s="75"/>
      <c r="F27" s="76">
        <f>B27+C27+D27+E27</f>
        <v>264.2244462</v>
      </c>
      <c r="L27" s="42" t="s">
        <v>139</v>
      </c>
      <c r="M27" s="57">
        <f>M15*M20/27</f>
        <v>34</v>
      </c>
      <c r="N27" s="57"/>
      <c r="O27" s="7"/>
    </row>
    <row r="28" spans="1:15" ht="12.75">
      <c r="A28" s="74" t="s">
        <v>140</v>
      </c>
      <c r="B28" s="75">
        <f>M13*8*2*Retail_Prices!H178*1.15</f>
        <v>774.1885007999998</v>
      </c>
      <c r="C28" s="75"/>
      <c r="D28" s="75"/>
      <c r="E28" s="75"/>
      <c r="F28" s="76">
        <f>B28+C28+D28+E28</f>
        <v>774.1885007999998</v>
      </c>
      <c r="H28">
        <v>40</v>
      </c>
      <c r="L28" s="42" t="s">
        <v>141</v>
      </c>
      <c r="M28" s="57">
        <f>M20*1.72</f>
        <v>3157.92</v>
      </c>
      <c r="N28" s="57"/>
      <c r="O28" s="7"/>
    </row>
    <row r="29" spans="1:15" ht="12.75">
      <c r="A29" s="74" t="s">
        <v>142</v>
      </c>
      <c r="B29" s="75">
        <f>15*Retail_Prices!H36*14</f>
        <v>319.5192</v>
      </c>
      <c r="C29" s="75"/>
      <c r="D29" s="75"/>
      <c r="E29" s="75"/>
      <c r="F29" s="76">
        <f>B29+C29+D29+E29</f>
        <v>319.5192</v>
      </c>
      <c r="H29">
        <v>4</v>
      </c>
      <c r="L29" s="77" t="s">
        <v>143</v>
      </c>
      <c r="M29" s="18">
        <f>F54/M20</f>
        <v>35.11628325041803</v>
      </c>
      <c r="N29" s="18"/>
      <c r="O29" s="78"/>
    </row>
    <row r="30" spans="1:8" ht="12.75">
      <c r="A30" s="74" t="s">
        <v>144</v>
      </c>
      <c r="B30" s="75">
        <f>14*30*Retail_Prices!H47*1.15</f>
        <v>531.15787725</v>
      </c>
      <c r="C30" s="75"/>
      <c r="D30" s="75"/>
      <c r="E30" s="75"/>
      <c r="F30" s="76">
        <f>B30+C30+D30+E30</f>
        <v>531.15787725</v>
      </c>
      <c r="H30">
        <v>4</v>
      </c>
    </row>
    <row r="31" spans="1:12" ht="12.75">
      <c r="A31" s="74" t="s">
        <v>145</v>
      </c>
      <c r="B31" s="75">
        <v>225</v>
      </c>
      <c r="C31" s="75"/>
      <c r="D31" s="75"/>
      <c r="E31" s="75"/>
      <c r="F31" s="76">
        <f>B31+C31+D31+E31</f>
        <v>225</v>
      </c>
      <c r="H31">
        <v>4</v>
      </c>
      <c r="L31" s="22">
        <f>40000/(34*54)</f>
        <v>21.78649237472767</v>
      </c>
    </row>
    <row r="32" spans="1:6" ht="12.75">
      <c r="A32" s="74" t="s">
        <v>146</v>
      </c>
      <c r="B32" s="75">
        <v>100</v>
      </c>
      <c r="C32" s="75"/>
      <c r="D32" s="75"/>
      <c r="E32" s="75"/>
      <c r="F32" s="76">
        <f>B32+C32+D32+E32</f>
        <v>100</v>
      </c>
    </row>
    <row r="33" spans="1:8" ht="12.75">
      <c r="A33" s="79" t="s">
        <v>147</v>
      </c>
      <c r="B33" s="80">
        <f>50*6</f>
        <v>300</v>
      </c>
      <c r="C33" s="80"/>
      <c r="D33" s="80"/>
      <c r="E33" s="80"/>
      <c r="F33" s="76">
        <f>B33+C33+D33+E33</f>
        <v>300</v>
      </c>
      <c r="H33">
        <v>8</v>
      </c>
    </row>
    <row r="34" spans="1:8" ht="12.75">
      <c r="A34" s="79" t="s">
        <v>148</v>
      </c>
      <c r="B34" s="80">
        <v>200</v>
      </c>
      <c r="C34" s="80"/>
      <c r="D34" s="80"/>
      <c r="E34" s="80"/>
      <c r="F34" s="76">
        <f>B34+C34+D34+E34</f>
        <v>200</v>
      </c>
      <c r="H34">
        <v>8</v>
      </c>
    </row>
    <row r="35" spans="1:8" ht="12.75">
      <c r="A35" s="79" t="s">
        <v>149</v>
      </c>
      <c r="B35" s="80">
        <f>50*3</f>
        <v>150</v>
      </c>
      <c r="C35" s="80"/>
      <c r="D35" s="80"/>
      <c r="E35" s="80"/>
      <c r="F35" s="76">
        <f>B35+C35+D35+E35</f>
        <v>150</v>
      </c>
      <c r="H35">
        <v>8</v>
      </c>
    </row>
    <row r="36" spans="1:8" ht="12.75">
      <c r="A36" s="79" t="s">
        <v>150</v>
      </c>
      <c r="B36" s="80">
        <v>200</v>
      </c>
      <c r="C36" s="80"/>
      <c r="D36" s="80"/>
      <c r="E36" s="80"/>
      <c r="F36" s="76">
        <f>B36+C36+D36+E36</f>
        <v>200</v>
      </c>
      <c r="H36">
        <v>16</v>
      </c>
    </row>
    <row r="37" spans="1:8" ht="12.75">
      <c r="A37" s="79" t="s">
        <v>151</v>
      </c>
      <c r="B37" s="80">
        <f>Retail_Prices!H201</f>
        <v>420.59159999999997</v>
      </c>
      <c r="C37" s="80"/>
      <c r="D37" s="80"/>
      <c r="E37" s="80"/>
      <c r="F37" s="76">
        <f>B37+C37+D37+E37</f>
        <v>420.59159999999997</v>
      </c>
      <c r="H37">
        <v>8</v>
      </c>
    </row>
    <row r="38" spans="1:8" ht="12.75">
      <c r="A38" s="79" t="s">
        <v>152</v>
      </c>
      <c r="B38" s="80">
        <f>150*4</f>
        <v>600</v>
      </c>
      <c r="C38" s="80"/>
      <c r="D38" s="80"/>
      <c r="E38" s="80"/>
      <c r="F38" s="76">
        <f>B38+C38+D38+E38</f>
        <v>600</v>
      </c>
      <c r="H38">
        <v>16</v>
      </c>
    </row>
    <row r="39" spans="1:8" ht="12.75">
      <c r="A39" s="79" t="s">
        <v>153</v>
      </c>
      <c r="B39" s="80">
        <v>750</v>
      </c>
      <c r="C39" s="80"/>
      <c r="D39" s="80"/>
      <c r="E39" s="80"/>
      <c r="F39" s="76">
        <f>B39+C39+D39+E39</f>
        <v>750</v>
      </c>
      <c r="H39">
        <v>16</v>
      </c>
    </row>
    <row r="40" spans="1:8" ht="12.75">
      <c r="A40" s="79" t="s">
        <v>154</v>
      </c>
      <c r="B40" s="80">
        <v>1009</v>
      </c>
      <c r="C40" s="80"/>
      <c r="D40" s="80"/>
      <c r="E40" s="80"/>
      <c r="F40" s="76">
        <f>B40+C40+D40+E40</f>
        <v>1009</v>
      </c>
      <c r="H40">
        <v>10</v>
      </c>
    </row>
    <row r="41" spans="1:8" ht="12.75">
      <c r="A41" s="79" t="s">
        <v>155</v>
      </c>
      <c r="B41" s="80">
        <v>750</v>
      </c>
      <c r="C41" s="80"/>
      <c r="D41" s="80"/>
      <c r="E41" s="80"/>
      <c r="F41" s="76">
        <f>B41+C41+D41+E41</f>
        <v>750</v>
      </c>
      <c r="H41">
        <v>8</v>
      </c>
    </row>
    <row r="42" spans="1:8" ht="12.75">
      <c r="A42" s="79" t="s">
        <v>156</v>
      </c>
      <c r="B42" s="80">
        <v>250</v>
      </c>
      <c r="C42" s="80"/>
      <c r="D42" s="80"/>
      <c r="E42" s="80"/>
      <c r="F42" s="76">
        <f>B42+C42+D42+E42</f>
        <v>250</v>
      </c>
      <c r="H42">
        <v>8</v>
      </c>
    </row>
    <row r="43" spans="1:8" ht="12.75">
      <c r="A43" s="79" t="s">
        <v>157</v>
      </c>
      <c r="B43" s="80">
        <v>200</v>
      </c>
      <c r="C43" s="75"/>
      <c r="D43" s="75"/>
      <c r="E43" s="75"/>
      <c r="F43" s="76">
        <f>B43+C43+D43+E43</f>
        <v>200</v>
      </c>
      <c r="H43">
        <v>8</v>
      </c>
    </row>
    <row r="44" spans="1:8" ht="12.75">
      <c r="A44" s="74" t="s">
        <v>158</v>
      </c>
      <c r="B44" s="75">
        <f>3*Retail_Prices!H144</f>
        <v>247.62738000000002</v>
      </c>
      <c r="C44" s="75"/>
      <c r="D44" s="75"/>
      <c r="E44" s="75"/>
      <c r="F44" s="76">
        <f>B44+C44+D44+E44</f>
        <v>247.62738000000002</v>
      </c>
      <c r="H44">
        <v>8</v>
      </c>
    </row>
    <row r="45" spans="1:8" ht="12.75">
      <c r="A45" s="74" t="s">
        <v>159</v>
      </c>
      <c r="B45" s="75">
        <v>2500</v>
      </c>
      <c r="C45" s="75"/>
      <c r="D45" s="75"/>
      <c r="E45" s="75"/>
      <c r="F45" s="76">
        <f>B45+C45+D45+E45</f>
        <v>2500</v>
      </c>
      <c r="H45">
        <v>20</v>
      </c>
    </row>
    <row r="46" spans="1:7" ht="12.75">
      <c r="A46" s="74" t="s">
        <v>160</v>
      </c>
      <c r="B46" s="75">
        <f>Retail_Prices!H237</f>
        <v>447.555108</v>
      </c>
      <c r="C46" s="75"/>
      <c r="D46" s="75"/>
      <c r="E46" s="75"/>
      <c r="F46" s="76">
        <f>B46+C46+D46+E46</f>
        <v>447.555108</v>
      </c>
      <c r="G46" s="12"/>
    </row>
    <row r="47" spans="1:8" ht="12.75">
      <c r="A47" s="81" t="s">
        <v>161</v>
      </c>
      <c r="B47" s="75"/>
      <c r="C47" s="75"/>
      <c r="D47" s="75"/>
      <c r="E47" s="75"/>
      <c r="F47" s="76">
        <f>B47+C47+D47+E47</f>
        <v>0</v>
      </c>
      <c r="G47" s="12">
        <f>SUM(F48:F50)</f>
        <v>1443</v>
      </c>
      <c r="H47">
        <v>10</v>
      </c>
    </row>
    <row r="48" spans="1:6" ht="12.75">
      <c r="A48" s="58" t="s">
        <v>162</v>
      </c>
      <c r="B48" s="12">
        <v>500</v>
      </c>
      <c r="C48" s="12"/>
      <c r="D48" s="12"/>
      <c r="E48" s="12"/>
      <c r="F48" s="76">
        <f>B48+C48+D48+E48</f>
        <v>500</v>
      </c>
    </row>
    <row r="49" spans="1:6" ht="12.75">
      <c r="A49" s="58" t="s">
        <v>163</v>
      </c>
      <c r="B49" s="12"/>
      <c r="C49" s="12"/>
      <c r="D49" s="12"/>
      <c r="E49" s="12">
        <v>693</v>
      </c>
      <c r="F49" s="76">
        <f>B49+C49+D49+E49</f>
        <v>693</v>
      </c>
    </row>
    <row r="50" spans="1:6" ht="12.75">
      <c r="A50" s="58" t="s">
        <v>164</v>
      </c>
      <c r="B50" s="12">
        <v>250</v>
      </c>
      <c r="C50" s="12"/>
      <c r="D50" s="12"/>
      <c r="E50" s="12"/>
      <c r="F50" s="56">
        <f>B50+C50+D50+E50</f>
        <v>250</v>
      </c>
    </row>
    <row r="51" spans="1:7" ht="12.75">
      <c r="A51" s="82"/>
      <c r="B51" s="83"/>
      <c r="C51" s="83"/>
      <c r="D51" s="83"/>
      <c r="E51" s="83"/>
      <c r="F51" s="84"/>
      <c r="G51" s="12">
        <f>F51</f>
        <v>0</v>
      </c>
    </row>
    <row r="52" spans="1:9" ht="12.75">
      <c r="A52" s="82"/>
      <c r="B52" s="83"/>
      <c r="C52" s="83"/>
      <c r="D52" s="83"/>
      <c r="E52" s="83"/>
      <c r="F52" s="84"/>
      <c r="G52" s="12"/>
      <c r="H52" s="12"/>
      <c r="I52" s="85"/>
    </row>
    <row r="53" spans="1:9" ht="12.75">
      <c r="A53" s="82"/>
      <c r="B53" s="83"/>
      <c r="C53" s="83"/>
      <c r="D53" s="83"/>
      <c r="E53" s="83"/>
      <c r="F53" s="84">
        <f>B53+C53+D53+E53</f>
        <v>0</v>
      </c>
      <c r="G53" s="12">
        <f>F53</f>
        <v>0</v>
      </c>
      <c r="H53" s="12"/>
      <c r="I53" s="85"/>
    </row>
    <row r="54" spans="1:9" ht="12.75">
      <c r="A54" s="46" t="s">
        <v>6</v>
      </c>
      <c r="B54" s="86">
        <f>SUM(B3:B53)</f>
        <v>58180.49604776751</v>
      </c>
      <c r="C54" s="86">
        <f>SUM(C3:C53)</f>
        <v>5600</v>
      </c>
      <c r="D54" s="86">
        <f>SUM(D3:D53)</f>
        <v>0</v>
      </c>
      <c r="E54" s="86">
        <f>SUM(E3:E53)</f>
        <v>693</v>
      </c>
      <c r="F54" s="86">
        <f>SUM(F3:F53)</f>
        <v>64473.496047767505</v>
      </c>
      <c r="G54" s="12">
        <f>SUM(G3:G53)</f>
        <v>64473.49604776751</v>
      </c>
      <c r="H54" s="22">
        <f>SUM(H4:H52)</f>
        <v>568</v>
      </c>
      <c r="I54" s="22">
        <f>SUM(I4:I53)</f>
        <v>324</v>
      </c>
    </row>
    <row r="55" ht="12.75">
      <c r="F55" s="12">
        <f>SUM(B54:E54)</f>
        <v>64473.49604776751</v>
      </c>
    </row>
    <row r="57" ht="12.75">
      <c r="F57" s="12">
        <f>F54-F5</f>
        <v>34815.48604776751</v>
      </c>
    </row>
    <row r="58" ht="12.75">
      <c r="B58" s="12">
        <f>B28</f>
        <v>774.1885007999998</v>
      </c>
    </row>
  </sheetData>
  <sheetProtection selectLockedCells="1" selectUnlockedCells="1"/>
  <mergeCells count="2">
    <mergeCell ref="A1:F1"/>
    <mergeCell ref="L2:O2"/>
  </mergeCells>
  <hyperlinks>
    <hyperlink ref="A5" r:id="rId1" display="  https://www.versatube.com/design-your-own?id=169501"/>
  </hyperlinks>
  <printOptions/>
  <pageMargins left="0.7875" right="0.7875" top="1.0263888888888888" bottom="1.0263888888888888" header="0.7875" footer="0.7875"/>
  <pageSetup fitToHeight="1" fitToWidth="1" horizontalDpi="300" verticalDpi="300" orientation="landscape"/>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AD116"/>
  <sheetViews>
    <sheetView zoomScale="90" zoomScaleNormal="90" workbookViewId="0" topLeftCell="A1">
      <selection activeCell="AB98" sqref="AB98"/>
    </sheetView>
  </sheetViews>
  <sheetFormatPr defaultColWidth="12.57421875" defaultRowHeight="12.75"/>
  <cols>
    <col min="1" max="1" width="11.57421875" style="0" customWidth="1"/>
    <col min="2" max="2" width="35.140625" style="0" customWidth="1"/>
    <col min="3" max="3" width="11.57421875" style="0" customWidth="1"/>
    <col min="4" max="4" width="36.28125" style="0" customWidth="1"/>
    <col min="5" max="7" width="11.57421875" style="0" customWidth="1"/>
    <col min="8" max="8" width="32.7109375" style="0" customWidth="1"/>
    <col min="9" max="9" width="15.7109375" style="0" customWidth="1"/>
    <col min="10" max="19" width="11.57421875" style="0" customWidth="1"/>
    <col min="20" max="20" width="40.7109375" style="0" customWidth="1"/>
    <col min="21" max="21" width="20.28125" style="0" customWidth="1"/>
    <col min="22" max="25" width="11.57421875" style="0" customWidth="1"/>
    <col min="26" max="26" width="5.7109375" style="0" customWidth="1"/>
    <col min="27" max="27" width="6.421875" style="0" customWidth="1"/>
    <col min="28" max="28" width="73.00390625" style="0" customWidth="1"/>
    <col min="29" max="29" width="57.57421875" style="0" customWidth="1"/>
    <col min="30" max="30" width="59.57421875" style="0" customWidth="1"/>
    <col min="31" max="16384" width="11.57421875" style="0" customWidth="1"/>
  </cols>
  <sheetData>
    <row r="1" spans="2:5" ht="12.75" customHeight="1">
      <c r="B1" s="52" t="s">
        <v>165</v>
      </c>
      <c r="C1" s="52"/>
      <c r="D1" s="52"/>
      <c r="E1" s="52"/>
    </row>
    <row r="2" spans="2:5" ht="12.75">
      <c r="B2" s="42"/>
      <c r="C2" s="57"/>
      <c r="D2" s="57" t="s">
        <v>94</v>
      </c>
      <c r="E2" s="7" t="s">
        <v>95</v>
      </c>
    </row>
    <row r="3" spans="2:5" ht="12.75">
      <c r="B3" s="59" t="s">
        <v>97</v>
      </c>
      <c r="C3" s="60" t="s">
        <v>98</v>
      </c>
      <c r="D3" s="57">
        <f>C4</f>
        <v>96</v>
      </c>
      <c r="E3" s="7">
        <v>0</v>
      </c>
    </row>
    <row r="4" spans="2:5" ht="12.75">
      <c r="B4" s="87" t="s">
        <v>108</v>
      </c>
      <c r="C4" s="88">
        <v>96</v>
      </c>
      <c r="D4" s="57">
        <v>0</v>
      </c>
      <c r="E4" s="7">
        <v>0</v>
      </c>
    </row>
    <row r="5" spans="2:5" ht="12.75">
      <c r="B5" s="87" t="s">
        <v>110</v>
      </c>
      <c r="C5" s="88">
        <v>52</v>
      </c>
      <c r="D5" s="57">
        <v>0</v>
      </c>
      <c r="E5" s="7">
        <f>C5</f>
        <v>52</v>
      </c>
    </row>
    <row r="6" spans="2:5" ht="12.75">
      <c r="B6" s="87" t="s">
        <v>112</v>
      </c>
      <c r="C6" s="88">
        <v>32</v>
      </c>
      <c r="D6" s="57">
        <f>C6</f>
        <v>32</v>
      </c>
      <c r="E6" s="7">
        <f>E5</f>
        <v>52</v>
      </c>
    </row>
    <row r="7" spans="2:5" ht="12.75">
      <c r="B7" s="87" t="s">
        <v>114</v>
      </c>
      <c r="C7" s="88">
        <v>16</v>
      </c>
      <c r="D7" s="57">
        <f>D6</f>
        <v>32</v>
      </c>
      <c r="E7" s="7">
        <f>E6-C7</f>
        <v>36</v>
      </c>
    </row>
    <row r="8" spans="2:5" ht="12.75">
      <c r="B8" s="87" t="s">
        <v>166</v>
      </c>
      <c r="C8" s="88">
        <v>32</v>
      </c>
      <c r="D8" s="57">
        <f>D7+C8</f>
        <v>64</v>
      </c>
      <c r="E8" s="7">
        <f>E7</f>
        <v>36</v>
      </c>
    </row>
    <row r="9" spans="2:5" ht="12.75">
      <c r="B9" s="87" t="s">
        <v>167</v>
      </c>
      <c r="C9" s="88">
        <v>16</v>
      </c>
      <c r="D9" s="57">
        <f>D8</f>
        <v>64</v>
      </c>
      <c r="E9" s="7">
        <f>E8+C9</f>
        <v>52</v>
      </c>
    </row>
    <row r="10" spans="2:5" ht="12.75">
      <c r="B10" s="87" t="s">
        <v>168</v>
      </c>
      <c r="C10" s="88">
        <v>32</v>
      </c>
      <c r="D10" s="57">
        <f>D9+C10</f>
        <v>96</v>
      </c>
      <c r="E10" s="7">
        <f>E9</f>
        <v>52</v>
      </c>
    </row>
    <row r="11" spans="2:5" ht="12.75">
      <c r="B11" s="87" t="s">
        <v>169</v>
      </c>
      <c r="C11" s="88">
        <v>52</v>
      </c>
      <c r="D11" s="57">
        <f>D10</f>
        <v>96</v>
      </c>
      <c r="E11" s="7">
        <f>E10-C11</f>
        <v>0</v>
      </c>
    </row>
    <row r="12" spans="2:5" ht="12.75">
      <c r="B12" s="87" t="s">
        <v>118</v>
      </c>
      <c r="C12" s="89">
        <v>8</v>
      </c>
      <c r="D12" s="57"/>
      <c r="E12" s="7"/>
    </row>
    <row r="13" spans="2:5" ht="12.75">
      <c r="B13" s="69" t="s">
        <v>170</v>
      </c>
      <c r="C13" s="70">
        <f>SUM(C4:C11)</f>
        <v>328</v>
      </c>
      <c r="D13" s="57"/>
      <c r="E13" s="7"/>
    </row>
    <row r="14" spans="2:5" ht="12.75">
      <c r="B14" s="69" t="s">
        <v>171</v>
      </c>
      <c r="C14" s="70">
        <f>C4*C5-C7*C8</f>
        <v>4480</v>
      </c>
      <c r="E14" s="7"/>
    </row>
    <row r="15" spans="2:5" ht="12.75">
      <c r="B15" s="42" t="s">
        <v>172</v>
      </c>
      <c r="C15" s="72">
        <v>860.1</v>
      </c>
      <c r="D15" s="57"/>
      <c r="E15" s="7"/>
    </row>
    <row r="16" spans="2:5" ht="12.75">
      <c r="B16" s="42" t="s">
        <v>173</v>
      </c>
      <c r="C16" s="70">
        <f>C14-C15</f>
        <v>3619.9</v>
      </c>
      <c r="D16" s="57"/>
      <c r="E16" s="7"/>
    </row>
    <row r="17" spans="2:5" ht="12.75">
      <c r="B17" s="77" t="s">
        <v>174</v>
      </c>
      <c r="C17" s="90">
        <f>C12*C13</f>
        <v>2624</v>
      </c>
      <c r="D17" s="18"/>
      <c r="E17" s="78"/>
    </row>
    <row r="36" spans="2:5" ht="12.75" customHeight="1">
      <c r="B36" s="52" t="s">
        <v>21</v>
      </c>
      <c r="C36" s="52"/>
      <c r="D36" s="52"/>
      <c r="E36" s="52"/>
    </row>
    <row r="37" spans="2:5" ht="12.75">
      <c r="B37" s="42" t="s">
        <v>175</v>
      </c>
      <c r="C37" s="89">
        <v>1</v>
      </c>
      <c r="D37" t="s">
        <v>176</v>
      </c>
      <c r="E37" s="7">
        <f>C13+C58</f>
        <v>334</v>
      </c>
    </row>
    <row r="38" spans="2:5" ht="12.75">
      <c r="B38" s="42" t="s">
        <v>177</v>
      </c>
      <c r="C38" s="89">
        <v>4</v>
      </c>
      <c r="D38" t="s">
        <v>178</v>
      </c>
      <c r="E38" s="7">
        <f>40*35</f>
        <v>1400</v>
      </c>
    </row>
    <row r="39" spans="2:5" ht="12.75">
      <c r="B39" s="42" t="s">
        <v>179</v>
      </c>
      <c r="C39" s="89">
        <v>35</v>
      </c>
      <c r="D39" s="91" t="s">
        <v>180</v>
      </c>
      <c r="E39" s="7"/>
    </row>
    <row r="40" spans="2:5" ht="12.75">
      <c r="B40" s="77" t="s">
        <v>181</v>
      </c>
      <c r="C40" s="92">
        <v>1</v>
      </c>
      <c r="D40" s="18"/>
      <c r="E40" s="78"/>
    </row>
    <row r="43" spans="2:5" ht="12.75" customHeight="1">
      <c r="B43" s="52" t="s">
        <v>22</v>
      </c>
      <c r="C43" s="52"/>
      <c r="D43" s="52"/>
      <c r="E43" s="52"/>
    </row>
    <row r="44" spans="2:5" ht="12.75">
      <c r="B44" s="42" t="s">
        <v>182</v>
      </c>
      <c r="C44" s="89">
        <v>4</v>
      </c>
      <c r="E44" s="7"/>
    </row>
    <row r="45" spans="2:5" ht="12.75">
      <c r="B45" s="42" t="s">
        <v>183</v>
      </c>
      <c r="C45" s="89">
        <v>12</v>
      </c>
      <c r="E45" s="7"/>
    </row>
    <row r="46" spans="2:9" ht="12.75">
      <c r="B46" s="42" t="s">
        <v>184</v>
      </c>
      <c r="C46" s="89">
        <v>6</v>
      </c>
      <c r="E46" s="7"/>
      <c r="H46" s="93" t="s">
        <v>185</v>
      </c>
      <c r="I46" s="93"/>
    </row>
    <row r="47" spans="2:17" ht="12.75">
      <c r="B47" s="77"/>
      <c r="C47" s="94"/>
      <c r="D47" s="18"/>
      <c r="E47" s="78"/>
      <c r="H47" s="28" t="s">
        <v>186</v>
      </c>
      <c r="I47" s="28" t="s">
        <v>187</v>
      </c>
      <c r="K47" s="28" t="s">
        <v>188</v>
      </c>
      <c r="M47" s="28" t="s">
        <v>189</v>
      </c>
      <c r="N47" s="28" t="s">
        <v>190</v>
      </c>
      <c r="O47" s="28" t="s">
        <v>191</v>
      </c>
      <c r="Q47" s="28" t="s">
        <v>192</v>
      </c>
    </row>
    <row r="48" spans="8:17" ht="12.75">
      <c r="H48" t="s">
        <v>193</v>
      </c>
      <c r="I48">
        <v>324.3</v>
      </c>
      <c r="K48" s="95">
        <f>I48/$I$75</f>
        <v>0.07372800436502525</v>
      </c>
      <c r="M48" s="22">
        <f>K48*610</f>
        <v>44.9740826626654</v>
      </c>
      <c r="N48" s="22">
        <f>M48*45</f>
        <v>2023.833719819943</v>
      </c>
      <c r="O48" s="22">
        <f>M48*40</f>
        <v>1798.9633065066162</v>
      </c>
      <c r="Q48" s="22">
        <f>105*K48</f>
        <v>7.74144045832765</v>
      </c>
    </row>
    <row r="49" spans="8:17" ht="12.75">
      <c r="H49" t="s">
        <v>194</v>
      </c>
      <c r="I49">
        <v>128.9</v>
      </c>
      <c r="K49" s="95">
        <f>I49/$I$75</f>
        <v>0.029304778793252405</v>
      </c>
      <c r="M49" s="22">
        <f>K49*610</f>
        <v>17.875915063883966</v>
      </c>
      <c r="N49" s="22">
        <f>M49*45</f>
        <v>804.4161778747784</v>
      </c>
      <c r="O49" s="22">
        <f>M49*40</f>
        <v>715.0366025553586</v>
      </c>
      <c r="Q49" s="22">
        <f>105*K49</f>
        <v>3.0770017732915025</v>
      </c>
    </row>
    <row r="50" spans="2:18" ht="12.75">
      <c r="B50" s="96" t="s">
        <v>195</v>
      </c>
      <c r="C50" s="96"/>
      <c r="D50" s="96"/>
      <c r="E50" s="96"/>
      <c r="H50" t="s">
        <v>196</v>
      </c>
      <c r="I50">
        <v>63.1</v>
      </c>
      <c r="K50" s="95">
        <f>I50/$I$75</f>
        <v>0.01434547355976902</v>
      </c>
      <c r="M50" s="22">
        <f>K50*610</f>
        <v>8.750738871459102</v>
      </c>
      <c r="N50" s="22">
        <f>M50*45</f>
        <v>393.7832492156596</v>
      </c>
      <c r="O50" s="22">
        <f>M50*40</f>
        <v>350.0295548583641</v>
      </c>
      <c r="Q50" s="22">
        <f>105*K50</f>
        <v>1.5062747237757472</v>
      </c>
      <c r="R50" s="22">
        <f>Q48+Q49+Q50</f>
        <v>12.324716955394901</v>
      </c>
    </row>
    <row r="51" spans="2:17" ht="12.75">
      <c r="B51" s="57" t="s">
        <v>197</v>
      </c>
      <c r="C51" s="89">
        <v>2</v>
      </c>
      <c r="E51" s="97"/>
      <c r="H51" t="s">
        <v>198</v>
      </c>
      <c r="I51">
        <v>401.8</v>
      </c>
      <c r="K51" s="95">
        <f>I51/$I$75</f>
        <v>0.09134724685127087</v>
      </c>
      <c r="M51" s="22">
        <f>K51*610</f>
        <v>55.72182057927523</v>
      </c>
      <c r="N51" s="22">
        <f>M51*45</f>
        <v>2507.4819260673853</v>
      </c>
      <c r="O51" s="22">
        <f>M51*40</f>
        <v>2228.8728231710093</v>
      </c>
      <c r="Q51" s="22">
        <f>105*K51</f>
        <v>9.59146091938344</v>
      </c>
    </row>
    <row r="52" spans="2:18" ht="12.75">
      <c r="B52" s="57" t="s">
        <v>199</v>
      </c>
      <c r="C52" s="89">
        <v>2</v>
      </c>
      <c r="E52" s="97"/>
      <c r="H52" t="s">
        <v>200</v>
      </c>
      <c r="I52">
        <v>114.6</v>
      </c>
      <c r="K52" s="95">
        <f>I52/$I$75</f>
        <v>0.026053744373209658</v>
      </c>
      <c r="M52" s="22">
        <f>K52*610</f>
        <v>15.89278406765789</v>
      </c>
      <c r="N52" s="22">
        <f>M52*45</f>
        <v>715.1752830446051</v>
      </c>
      <c r="O52" s="22">
        <f>M52*40</f>
        <v>635.7113627063156</v>
      </c>
      <c r="Q52" s="22">
        <f>105*K52</f>
        <v>2.7356431591870143</v>
      </c>
      <c r="R52" s="22">
        <f>Q51+Q52+Q59</f>
        <v>14.279770836175146</v>
      </c>
    </row>
    <row r="53" spans="2:18" ht="12.75">
      <c r="B53" s="57" t="s">
        <v>201</v>
      </c>
      <c r="C53" s="89">
        <v>2</v>
      </c>
      <c r="E53" s="97"/>
      <c r="H53" t="s">
        <v>202</v>
      </c>
      <c r="I53">
        <v>200.8</v>
      </c>
      <c r="K53" s="95">
        <f>I53/$I$75</f>
        <v>0.04565088891920157</v>
      </c>
      <c r="M53" s="22">
        <f>K53*610</f>
        <v>27.84704224071296</v>
      </c>
      <c r="N53" s="22">
        <f>M53*45</f>
        <v>1253.116900832083</v>
      </c>
      <c r="O53" s="22">
        <f>M53*40</f>
        <v>1113.8816896285184</v>
      </c>
      <c r="Q53" s="22">
        <f>105*K53</f>
        <v>4.793343336516164</v>
      </c>
      <c r="R53" s="22">
        <f>Q53+($Q$58/3)+($Q$57/3)</f>
        <v>6.640976674396399</v>
      </c>
    </row>
    <row r="54" spans="2:18" ht="12.75">
      <c r="B54" s="57" t="s">
        <v>203</v>
      </c>
      <c r="C54" s="89">
        <v>2</v>
      </c>
      <c r="E54" s="97"/>
      <c r="H54" t="s">
        <v>204</v>
      </c>
      <c r="I54">
        <v>269.7</v>
      </c>
      <c r="K54" s="95">
        <f>I54/$I$75</f>
        <v>0.06131496385213477</v>
      </c>
      <c r="M54" s="22">
        <f>K54*610</f>
        <v>37.402127949802214</v>
      </c>
      <c r="N54" s="22">
        <f>M54*45</f>
        <v>1683.0957577410995</v>
      </c>
      <c r="O54" s="22">
        <f>M54*40</f>
        <v>1496.0851179920885</v>
      </c>
      <c r="Q54" s="22">
        <f>105*K54</f>
        <v>6.438071204474151</v>
      </c>
      <c r="R54" s="22">
        <f>Q54+($Q$58/3)+($Q$57/3)</f>
        <v>8.285704542354386</v>
      </c>
    </row>
    <row r="55" spans="2:18" ht="12.75">
      <c r="B55" s="57" t="s">
        <v>205</v>
      </c>
      <c r="C55" s="89">
        <v>3</v>
      </c>
      <c r="E55" s="97"/>
      <c r="H55" t="s">
        <v>206</v>
      </c>
      <c r="I55">
        <v>216</v>
      </c>
      <c r="K55" s="95">
        <f>I55/$I$75</f>
        <v>0.0491065338971491</v>
      </c>
      <c r="M55" s="22">
        <f>K55*610</f>
        <v>29.95498567726095</v>
      </c>
      <c r="N55" s="22">
        <f>M55*45</f>
        <v>1347.9743554767429</v>
      </c>
      <c r="O55" s="22">
        <f>M55*40</f>
        <v>1198.199427090438</v>
      </c>
      <c r="Q55" s="22">
        <f>105*K55</f>
        <v>5.156186059200655</v>
      </c>
      <c r="R55" s="22">
        <f>Q55+($Q$58/3)+($Q$57/3)</f>
        <v>7.00381939708089</v>
      </c>
    </row>
    <row r="56" spans="2:18" ht="12.75">
      <c r="B56" s="57" t="s">
        <v>207</v>
      </c>
      <c r="C56" s="89">
        <v>2</v>
      </c>
      <c r="E56" s="97"/>
      <c r="H56" t="s">
        <v>208</v>
      </c>
      <c r="I56">
        <v>289.3</v>
      </c>
      <c r="K56" s="95">
        <f>I56/$I$75</f>
        <v>0.06577092711317238</v>
      </c>
      <c r="M56" s="22">
        <f>K56*610</f>
        <v>40.12026553903515</v>
      </c>
      <c r="N56" s="22">
        <f>M56*45</f>
        <v>1805.411949256582</v>
      </c>
      <c r="O56" s="22">
        <f>M56*40</f>
        <v>1604.8106215614062</v>
      </c>
      <c r="Q56" s="22">
        <f>105*K56</f>
        <v>6.9059473468831</v>
      </c>
      <c r="R56" s="22">
        <f>Q56+($Q$58/3)+($Q$57/3)</f>
        <v>8.753580684763335</v>
      </c>
    </row>
    <row r="57" spans="2:17" ht="12.75">
      <c r="B57" s="57" t="s">
        <v>209</v>
      </c>
      <c r="C57" s="89">
        <v>2</v>
      </c>
      <c r="E57" s="97"/>
      <c r="H57" t="s">
        <v>210</v>
      </c>
      <c r="I57">
        <v>137</v>
      </c>
      <c r="K57" s="95">
        <f>I57/$I$75</f>
        <v>0.031146273814395494</v>
      </c>
      <c r="M57" s="22">
        <f>K57*610</f>
        <v>18.999227026781252</v>
      </c>
      <c r="N57" s="22">
        <f>M57*45</f>
        <v>854.9652162051564</v>
      </c>
      <c r="O57" s="22">
        <f>M57*40</f>
        <v>759.9690810712501</v>
      </c>
      <c r="Q57" s="22">
        <f>105*K57</f>
        <v>3.270358750511527</v>
      </c>
    </row>
    <row r="58" spans="2:17" ht="12.75">
      <c r="B58" s="97" t="s">
        <v>211</v>
      </c>
      <c r="C58" s="89">
        <v>6</v>
      </c>
      <c r="H58" t="s">
        <v>212</v>
      </c>
      <c r="I58">
        <v>95.2</v>
      </c>
      <c r="K58" s="95">
        <f>I58/$I$75</f>
        <v>0.02164325012503979</v>
      </c>
      <c r="M58" s="22">
        <f>K58*610</f>
        <v>13.202382576274273</v>
      </c>
      <c r="N58" s="22">
        <f>M58*45</f>
        <v>594.1072159323422</v>
      </c>
      <c r="O58" s="22">
        <f>M58*40</f>
        <v>528.0953030509709</v>
      </c>
      <c r="Q58" s="22">
        <f>105*K58</f>
        <v>2.272541263129178</v>
      </c>
    </row>
    <row r="59" spans="2:17" ht="12.75">
      <c r="B59" s="57" t="s">
        <v>213</v>
      </c>
      <c r="C59" s="89">
        <v>6</v>
      </c>
      <c r="E59" s="97"/>
      <c r="H59" t="s">
        <v>214</v>
      </c>
      <c r="I59">
        <v>81.8</v>
      </c>
      <c r="K59" s="95">
        <f>I59/$I$75</f>
        <v>0.018596826262901833</v>
      </c>
      <c r="M59" s="22">
        <f>K59*610</f>
        <v>11.344064020370118</v>
      </c>
      <c r="N59" s="22">
        <f>M59*45</f>
        <v>510.4828809166553</v>
      </c>
      <c r="O59" s="22">
        <f>M59*40</f>
        <v>453.7625608148047</v>
      </c>
      <c r="Q59" s="22">
        <f>105*K59</f>
        <v>1.9526667576046923</v>
      </c>
    </row>
    <row r="60" spans="2:17" ht="12.75">
      <c r="B60" s="57" t="s">
        <v>215</v>
      </c>
      <c r="C60" s="89">
        <v>2</v>
      </c>
      <c r="E60" s="97"/>
      <c r="Q60" s="22">
        <f>105*K60</f>
        <v>0</v>
      </c>
    </row>
    <row r="61" spans="2:17" ht="12.75">
      <c r="B61" s="57" t="s">
        <v>216</v>
      </c>
      <c r="C61" s="89">
        <v>2</v>
      </c>
      <c r="E61" s="97"/>
      <c r="Q61" s="22">
        <f>105*K61</f>
        <v>0</v>
      </c>
    </row>
    <row r="62" spans="2:17" ht="12.75">
      <c r="B62" t="s">
        <v>217</v>
      </c>
      <c r="C62" s="89">
        <v>2</v>
      </c>
      <c r="H62" t="s">
        <v>218</v>
      </c>
      <c r="I62">
        <v>513.7</v>
      </c>
      <c r="K62" s="95">
        <f>I62/$I$75</f>
        <v>0.11678715955076618</v>
      </c>
      <c r="M62" s="22">
        <f>K62*610</f>
        <v>71.24016732596738</v>
      </c>
      <c r="N62" s="22">
        <f>M62*45</f>
        <v>3205.807529668532</v>
      </c>
      <c r="O62" s="22">
        <f>M62*40</f>
        <v>2849.606693038695</v>
      </c>
      <c r="Q62" s="22">
        <f>105*K62</f>
        <v>12.262651752830449</v>
      </c>
    </row>
    <row r="63" spans="8:17" ht="12.75">
      <c r="H63" t="s">
        <v>219</v>
      </c>
      <c r="I63">
        <v>273.2</v>
      </c>
      <c r="K63" s="95">
        <f>I63/$I$75</f>
        <v>0.06211067157732006</v>
      </c>
      <c r="M63" s="22">
        <f>K63*610</f>
        <v>37.887509662165236</v>
      </c>
      <c r="N63" s="22">
        <f>M63*45</f>
        <v>1704.9379347974357</v>
      </c>
      <c r="O63" s="22">
        <f>M63*40</f>
        <v>1515.5003864866094</v>
      </c>
      <c r="Q63" s="22">
        <f>105*K63</f>
        <v>6.521620515618606</v>
      </c>
    </row>
    <row r="64" spans="8:17" ht="12.75">
      <c r="H64" t="s">
        <v>220</v>
      </c>
      <c r="I64">
        <v>249.5</v>
      </c>
      <c r="K64" s="95">
        <f>I64/$I$75</f>
        <v>0.05672259355249398</v>
      </c>
      <c r="M64" s="22">
        <f>K64*610</f>
        <v>34.60078206702133</v>
      </c>
      <c r="N64" s="22">
        <f>M64*45</f>
        <v>1557.0351930159597</v>
      </c>
      <c r="O64" s="22">
        <f>M64*40</f>
        <v>1384.031282680853</v>
      </c>
      <c r="Q64" s="22">
        <f>105*K64</f>
        <v>5.955872323011868</v>
      </c>
    </row>
    <row r="65" spans="8:17" ht="12.75">
      <c r="H65" t="s">
        <v>221</v>
      </c>
      <c r="I65">
        <v>129.7</v>
      </c>
      <c r="K65" s="95">
        <f>I65/$I$75</f>
        <v>0.029486654844723324</v>
      </c>
      <c r="M65" s="22">
        <f>K65*610</f>
        <v>17.986859455281227</v>
      </c>
      <c r="N65" s="22">
        <f>M65*45</f>
        <v>809.4086754876552</v>
      </c>
      <c r="O65" s="22">
        <f>M65*40</f>
        <v>719.4743782112491</v>
      </c>
      <c r="Q65" s="22">
        <f>105*K65</f>
        <v>3.096098758695949</v>
      </c>
    </row>
    <row r="66" spans="2:17" ht="12.75">
      <c r="B66" t="s">
        <v>222</v>
      </c>
      <c r="C66" s="22">
        <f>C52+C55+C60+C57</f>
        <v>9</v>
      </c>
      <c r="H66" t="s">
        <v>223</v>
      </c>
      <c r="I66">
        <v>69.7</v>
      </c>
      <c r="K66" s="95">
        <f>I66/$I$75</f>
        <v>0.015845950984404132</v>
      </c>
      <c r="M66" s="22">
        <f>K66*610</f>
        <v>9.666030100486521</v>
      </c>
      <c r="N66" s="22">
        <f>M66*45</f>
        <v>434.9713545218935</v>
      </c>
      <c r="O66" s="22">
        <f>M66*40</f>
        <v>386.6412040194609</v>
      </c>
      <c r="Q66" s="22">
        <f>105*K66</f>
        <v>1.6638248533624338</v>
      </c>
    </row>
    <row r="67" spans="2:18" ht="12.75">
      <c r="B67" t="s">
        <v>224</v>
      </c>
      <c r="C67" s="22">
        <f>C52+C55+C60+C57</f>
        <v>9</v>
      </c>
      <c r="H67" t="s">
        <v>225</v>
      </c>
      <c r="I67">
        <v>61.7</v>
      </c>
      <c r="K67" s="95">
        <f>I67/$I$75</f>
        <v>0.014027190469694905</v>
      </c>
      <c r="M67" s="22">
        <f>K67*610</f>
        <v>8.556586186513892</v>
      </c>
      <c r="N67" s="22">
        <f>M67*45</f>
        <v>385.0463783931251</v>
      </c>
      <c r="O67" s="22">
        <f>M67*40</f>
        <v>342.26344746055565</v>
      </c>
      <c r="Q67" s="22">
        <f>105*K67</f>
        <v>1.472854999317965</v>
      </c>
      <c r="R67" s="22">
        <f>SUM(Q62:Q67)+Q72+Q70</f>
        <v>64.9870413313327</v>
      </c>
    </row>
    <row r="68" spans="2:17" ht="12.75">
      <c r="B68" t="s">
        <v>226</v>
      </c>
      <c r="C68" s="22">
        <f>C52+C55+C60+C57</f>
        <v>9</v>
      </c>
      <c r="H68" s="28" t="s">
        <v>227</v>
      </c>
      <c r="I68" s="22">
        <f>SUM(I48:I67)</f>
        <v>3619.9999999999995</v>
      </c>
      <c r="Q68" s="22">
        <f>105*K68</f>
        <v>0</v>
      </c>
    </row>
    <row r="69" spans="2:17" ht="12.75">
      <c r="B69" t="s">
        <v>228</v>
      </c>
      <c r="C69" s="22">
        <f>C51+C55+C57</f>
        <v>7</v>
      </c>
      <c r="Q69" s="22">
        <f>105*K69</f>
        <v>0</v>
      </c>
    </row>
    <row r="70" spans="2:17" ht="12.75">
      <c r="B70" t="s">
        <v>207</v>
      </c>
      <c r="C70" s="22">
        <f>C56</f>
        <v>2</v>
      </c>
      <c r="H70" t="s">
        <v>229</v>
      </c>
      <c r="I70">
        <v>778.6</v>
      </c>
      <c r="K70" s="95">
        <f>I70/$I$75</f>
        <v>0.1770108670940754</v>
      </c>
      <c r="M70" s="22">
        <f>K70*610</f>
        <v>107.976628927386</v>
      </c>
      <c r="N70" s="22">
        <f>M70*45</f>
        <v>4858.94830173237</v>
      </c>
      <c r="O70" s="22">
        <f>M70*40</f>
        <v>4319.06515709544</v>
      </c>
      <c r="Q70" s="22">
        <f>105*K70</f>
        <v>18.586141044877916</v>
      </c>
    </row>
    <row r="71" spans="2:18" ht="12.75">
      <c r="B71" t="s">
        <v>217</v>
      </c>
      <c r="C71" s="22">
        <f>C62</f>
        <v>2</v>
      </c>
      <c r="H71" t="s">
        <v>230</v>
      </c>
      <c r="I71">
        <v>501.2</v>
      </c>
      <c r="K71" s="95">
        <f>I71/$I$75</f>
        <v>0.113945346246533</v>
      </c>
      <c r="M71" s="22">
        <f>K71*610</f>
        <v>69.50666121038513</v>
      </c>
      <c r="N71" s="22">
        <f>M71*45</f>
        <v>3127.799754467331</v>
      </c>
      <c r="O71" s="22">
        <f>M71*40</f>
        <v>2780.266448415405</v>
      </c>
      <c r="Q71" s="22">
        <f>105*K71</f>
        <v>11.964261355885965</v>
      </c>
      <c r="R71" s="22">
        <f>Q71</f>
        <v>11.964261355885965</v>
      </c>
    </row>
    <row r="72" spans="2:17" ht="12.75">
      <c r="B72" t="s">
        <v>231</v>
      </c>
      <c r="H72" t="s">
        <v>232</v>
      </c>
      <c r="I72">
        <v>646.3</v>
      </c>
      <c r="K72" s="95">
        <f>I72/$I$75</f>
        <v>0.14693311508207157</v>
      </c>
      <c r="M72" s="22">
        <f>K72*610</f>
        <v>89.62920020006366</v>
      </c>
      <c r="N72" s="22">
        <f>M72*45</f>
        <v>4033.314009002865</v>
      </c>
      <c r="O72" s="22">
        <f>M72*40</f>
        <v>3585.1680080025467</v>
      </c>
      <c r="Q72" s="22">
        <f>105*K72</f>
        <v>15.427977083617515</v>
      </c>
    </row>
    <row r="73" spans="2:17" ht="12.75">
      <c r="B73" t="s">
        <v>93</v>
      </c>
      <c r="C73" s="22">
        <f>C55+C60+C51</f>
        <v>7</v>
      </c>
      <c r="H73" s="28" t="s">
        <v>233</v>
      </c>
      <c r="I73" s="22">
        <f>SUM(I70:I72)</f>
        <v>1926.1</v>
      </c>
      <c r="Q73" s="22">
        <f>105*K73</f>
        <v>0</v>
      </c>
    </row>
    <row r="74" spans="11:18" ht="12.75">
      <c r="K74" s="95">
        <f>SUM(K48:K73)</f>
        <v>1.2608784613286048</v>
      </c>
      <c r="M74" s="22">
        <f>K74*610</f>
        <v>769.1358614104489</v>
      </c>
      <c r="N74" s="22">
        <f>M74*45</f>
        <v>34611.1137634702</v>
      </c>
      <c r="O74" s="22">
        <f>M74*40</f>
        <v>30765.434456417956</v>
      </c>
      <c r="Q74" s="22">
        <f>105*K74</f>
        <v>132.3922384395035</v>
      </c>
      <c r="R74" s="22">
        <f>SUM(R48:R73)</f>
        <v>134.2398717773837</v>
      </c>
    </row>
    <row r="75" spans="8:9" ht="12.75">
      <c r="H75" s="28" t="s">
        <v>234</v>
      </c>
      <c r="I75" s="22">
        <f>I68+I70</f>
        <v>4398.599999999999</v>
      </c>
    </row>
    <row r="77" spans="8:24" ht="12.75">
      <c r="H77" t="s">
        <v>235</v>
      </c>
      <c r="I77">
        <v>860.1</v>
      </c>
      <c r="T77" s="98" t="s">
        <v>236</v>
      </c>
      <c r="U77" s="98"/>
      <c r="V77" s="98"/>
      <c r="W77" s="98"/>
      <c r="X77" s="98"/>
    </row>
    <row r="78" spans="20:24" ht="12.75">
      <c r="T78" s="99"/>
      <c r="U78" s="100" t="s">
        <v>237</v>
      </c>
      <c r="V78" s="100" t="s">
        <v>238</v>
      </c>
      <c r="W78" s="100" t="s">
        <v>239</v>
      </c>
      <c r="X78" s="100" t="s">
        <v>64</v>
      </c>
    </row>
    <row r="79" spans="8:24" ht="12.75">
      <c r="H79" s="28" t="s">
        <v>240</v>
      </c>
      <c r="I79" s="22">
        <f>I68+I73</f>
        <v>5546.099999999999</v>
      </c>
      <c r="T79" s="99" t="s">
        <v>241</v>
      </c>
      <c r="U79" s="101" t="s">
        <v>242</v>
      </c>
      <c r="V79" s="101">
        <v>4480</v>
      </c>
      <c r="W79" s="101">
        <v>2484</v>
      </c>
      <c r="X79" s="101">
        <f>V79+W79</f>
        <v>6964</v>
      </c>
    </row>
    <row r="80" spans="8:24" ht="12.75">
      <c r="H80" s="28" t="s">
        <v>243</v>
      </c>
      <c r="I80" s="22">
        <f>I68+I73+I77</f>
        <v>6406.2</v>
      </c>
      <c r="T80" s="102" t="s">
        <v>244</v>
      </c>
      <c r="U80" s="101" t="s">
        <v>242</v>
      </c>
      <c r="V80" s="101" t="s">
        <v>242</v>
      </c>
      <c r="W80" s="101" t="s">
        <v>242</v>
      </c>
      <c r="X80" s="101">
        <v>186279</v>
      </c>
    </row>
    <row r="81" spans="20:24" ht="12.75">
      <c r="T81" s="99" t="s">
        <v>245</v>
      </c>
      <c r="U81" s="101">
        <v>70000</v>
      </c>
      <c r="V81" s="101" t="s">
        <v>242</v>
      </c>
      <c r="W81" s="101" t="s">
        <v>242</v>
      </c>
      <c r="X81" s="101" t="s">
        <v>242</v>
      </c>
    </row>
    <row r="82" spans="8:24" ht="12.75">
      <c r="H82" s="28" t="s">
        <v>246</v>
      </c>
      <c r="I82">
        <v>5793.6</v>
      </c>
      <c r="T82" s="99" t="s">
        <v>247</v>
      </c>
      <c r="U82" s="101">
        <v>70000</v>
      </c>
      <c r="V82" s="101" t="s">
        <v>242</v>
      </c>
      <c r="W82" s="101" t="s">
        <v>242</v>
      </c>
      <c r="X82" s="101" t="s">
        <v>242</v>
      </c>
    </row>
    <row r="83" spans="20:24" ht="12.75">
      <c r="T83" s="99" t="s">
        <v>248</v>
      </c>
      <c r="U83" s="101">
        <v>200</v>
      </c>
      <c r="V83" s="101" t="s">
        <v>242</v>
      </c>
      <c r="W83" s="101" t="s">
        <v>242</v>
      </c>
      <c r="X83" s="101" t="s">
        <v>242</v>
      </c>
    </row>
    <row r="84" spans="20:24" ht="12.75">
      <c r="T84" s="99" t="s">
        <v>249</v>
      </c>
      <c r="U84" s="101">
        <v>50</v>
      </c>
      <c r="V84" s="101">
        <v>50</v>
      </c>
      <c r="W84" s="101">
        <v>50</v>
      </c>
      <c r="X84" s="101" t="s">
        <v>242</v>
      </c>
    </row>
    <row r="85" spans="20:24" ht="12.75">
      <c r="T85" s="99" t="s">
        <v>250</v>
      </c>
      <c r="U85" s="101">
        <v>50</v>
      </c>
      <c r="V85" s="101">
        <v>50</v>
      </c>
      <c r="W85" s="101">
        <v>50</v>
      </c>
      <c r="X85" s="101" t="s">
        <v>242</v>
      </c>
    </row>
    <row r="86" spans="9:24" ht="12.75">
      <c r="I86" s="22">
        <f>I71+I72</f>
        <v>1147.5</v>
      </c>
      <c r="T86" s="99" t="s">
        <v>251</v>
      </c>
      <c r="U86" s="101">
        <v>25</v>
      </c>
      <c r="V86" s="101">
        <v>25</v>
      </c>
      <c r="W86" s="101">
        <v>25</v>
      </c>
      <c r="X86" s="101" t="s">
        <v>242</v>
      </c>
    </row>
    <row r="87" spans="20:24" ht="12.75">
      <c r="T87" s="99" t="s">
        <v>252</v>
      </c>
      <c r="U87" s="101">
        <v>30</v>
      </c>
      <c r="V87" s="101">
        <v>30</v>
      </c>
      <c r="W87" s="101">
        <v>30</v>
      </c>
      <c r="X87" s="101" t="s">
        <v>242</v>
      </c>
    </row>
    <row r="88" spans="20:24" ht="12.75">
      <c r="T88" s="99" t="s">
        <v>253</v>
      </c>
      <c r="U88" s="101">
        <v>2</v>
      </c>
      <c r="V88" s="101">
        <v>1.5</v>
      </c>
      <c r="W88" s="101">
        <v>1.5</v>
      </c>
      <c r="X88" s="101" t="s">
        <v>242</v>
      </c>
    </row>
    <row r="89" spans="20:24" ht="12.75">
      <c r="T89" s="99" t="s">
        <v>254</v>
      </c>
      <c r="U89" s="101">
        <v>30</v>
      </c>
      <c r="V89" s="101">
        <v>23</v>
      </c>
      <c r="W89" s="101">
        <v>21</v>
      </c>
      <c r="X89" s="101" t="s">
        <v>242</v>
      </c>
    </row>
    <row r="90" spans="20:24" ht="12.75">
      <c r="T90" s="99" t="s">
        <v>255</v>
      </c>
      <c r="U90" s="101">
        <v>15</v>
      </c>
      <c r="V90" s="103">
        <f>V79/X80</f>
        <v>0.024049946585498097</v>
      </c>
      <c r="W90" s="103">
        <f>W79/X80</f>
        <v>0.013334836454994926</v>
      </c>
      <c r="X90" s="103">
        <f>X79/X80</f>
        <v>0.03738478304049302</v>
      </c>
    </row>
    <row r="91" spans="20:24" ht="12.75">
      <c r="T91" s="99" t="s">
        <v>256</v>
      </c>
      <c r="U91" s="101">
        <v>3</v>
      </c>
      <c r="V91" s="101" t="s">
        <v>242</v>
      </c>
      <c r="W91" s="101" t="s">
        <v>242</v>
      </c>
      <c r="X91" s="101" t="s">
        <v>242</v>
      </c>
    </row>
    <row r="98" spans="28:30" ht="12.75">
      <c r="AB98" t="s">
        <v>257</v>
      </c>
      <c r="AC98" t="s">
        <v>258</v>
      </c>
      <c r="AD98" t="s">
        <v>259</v>
      </c>
    </row>
    <row r="99" spans="27:30" ht="12.75">
      <c r="AA99">
        <v>1</v>
      </c>
      <c r="AB99" t="s">
        <v>260</v>
      </c>
      <c r="AC99" t="s">
        <v>261</v>
      </c>
      <c r="AD99" t="s">
        <v>262</v>
      </c>
    </row>
    <row r="100" spans="27:30" ht="12.75">
      <c r="AA100">
        <v>2</v>
      </c>
      <c r="AB100" t="s">
        <v>263</v>
      </c>
      <c r="AC100" t="s">
        <v>264</v>
      </c>
      <c r="AD100" t="s">
        <v>265</v>
      </c>
    </row>
    <row r="101" spans="27:30" ht="12.75">
      <c r="AA101">
        <v>3</v>
      </c>
      <c r="AB101" t="s">
        <v>266</v>
      </c>
      <c r="AC101" t="s">
        <v>267</v>
      </c>
      <c r="AD101" t="s">
        <v>268</v>
      </c>
    </row>
    <row r="102" spans="27:30" ht="12.75">
      <c r="AA102">
        <v>4</v>
      </c>
      <c r="AB102" t="s">
        <v>269</v>
      </c>
      <c r="AC102" t="s">
        <v>270</v>
      </c>
      <c r="AD102" t="s">
        <v>271</v>
      </c>
    </row>
    <row r="103" spans="27:30" ht="12.75">
      <c r="AA103">
        <v>5</v>
      </c>
      <c r="AB103" t="s">
        <v>272</v>
      </c>
      <c r="AC103" t="s">
        <v>273</v>
      </c>
      <c r="AD103" t="s">
        <v>274</v>
      </c>
    </row>
    <row r="104" spans="27:30" ht="12.75">
      <c r="AA104">
        <v>6</v>
      </c>
      <c r="AB104" t="s">
        <v>275</v>
      </c>
      <c r="AC104" t="s">
        <v>276</v>
      </c>
      <c r="AD104" t="s">
        <v>277</v>
      </c>
    </row>
    <row r="105" spans="27:30" ht="12.75">
      <c r="AA105">
        <v>7</v>
      </c>
      <c r="AB105" t="s">
        <v>278</v>
      </c>
      <c r="AC105" t="s">
        <v>279</v>
      </c>
      <c r="AD105" t="s">
        <v>280</v>
      </c>
    </row>
    <row r="106" spans="27:30" ht="12.75">
      <c r="AA106">
        <v>8</v>
      </c>
      <c r="AB106" t="s">
        <v>281</v>
      </c>
      <c r="AC106" t="s">
        <v>267</v>
      </c>
      <c r="AD106" t="s">
        <v>268</v>
      </c>
    </row>
    <row r="107" spans="27:30" ht="12.75">
      <c r="AA107">
        <v>9</v>
      </c>
      <c r="AB107" t="s">
        <v>282</v>
      </c>
      <c r="AC107" t="s">
        <v>283</v>
      </c>
      <c r="AD107" t="s">
        <v>284</v>
      </c>
    </row>
    <row r="108" spans="27:30" ht="12.75">
      <c r="AA108">
        <v>10</v>
      </c>
      <c r="AB108" t="s">
        <v>285</v>
      </c>
      <c r="AC108" t="s">
        <v>261</v>
      </c>
      <c r="AD108" t="s">
        <v>262</v>
      </c>
    </row>
    <row r="109" spans="27:30" ht="12.75">
      <c r="AA109">
        <v>11</v>
      </c>
      <c r="AB109" t="s">
        <v>286</v>
      </c>
      <c r="AC109" t="s">
        <v>287</v>
      </c>
      <c r="AD109" t="s">
        <v>262</v>
      </c>
    </row>
    <row r="110" spans="27:30" ht="12.75">
      <c r="AA110">
        <v>12</v>
      </c>
      <c r="AB110" t="s">
        <v>288</v>
      </c>
      <c r="AC110" t="s">
        <v>273</v>
      </c>
      <c r="AD110" t="s">
        <v>280</v>
      </c>
    </row>
    <row r="111" spans="27:30" ht="12.75">
      <c r="AA111">
        <v>13</v>
      </c>
      <c r="AB111" t="s">
        <v>289</v>
      </c>
      <c r="AC111" t="s">
        <v>290</v>
      </c>
      <c r="AD111" t="s">
        <v>291</v>
      </c>
    </row>
    <row r="112" spans="27:30" ht="12.75">
      <c r="AA112">
        <v>14</v>
      </c>
      <c r="AB112" t="s">
        <v>292</v>
      </c>
      <c r="AC112" t="s">
        <v>293</v>
      </c>
      <c r="AD112" t="s">
        <v>262</v>
      </c>
    </row>
    <row r="113" spans="27:30" ht="12.75">
      <c r="AA113">
        <v>15</v>
      </c>
      <c r="AB113" t="s">
        <v>294</v>
      </c>
      <c r="AC113" t="s">
        <v>261</v>
      </c>
      <c r="AD113" t="s">
        <v>262</v>
      </c>
    </row>
    <row r="114" spans="27:30" ht="12.75">
      <c r="AA114">
        <v>16</v>
      </c>
      <c r="AB114" t="s">
        <v>295</v>
      </c>
      <c r="AC114" t="s">
        <v>290</v>
      </c>
      <c r="AD114" t="s">
        <v>296</v>
      </c>
    </row>
    <row r="115" spans="27:30" ht="12.75">
      <c r="AA115">
        <v>17</v>
      </c>
      <c r="AB115" t="s">
        <v>297</v>
      </c>
      <c r="AC115" t="s">
        <v>298</v>
      </c>
      <c r="AD115" t="s">
        <v>299</v>
      </c>
    </row>
    <row r="116" spans="27:30" ht="12.75">
      <c r="AA116">
        <v>18</v>
      </c>
      <c r="AB116" t="s">
        <v>300</v>
      </c>
      <c r="AC116" t="s">
        <v>301</v>
      </c>
      <c r="AD116" t="s">
        <v>280</v>
      </c>
    </row>
  </sheetData>
  <sheetProtection selectLockedCells="1" selectUnlockedCells="1"/>
  <mergeCells count="6">
    <mergeCell ref="B1:E1"/>
    <mergeCell ref="B36:E36"/>
    <mergeCell ref="B43:E43"/>
    <mergeCell ref="H46:I46"/>
    <mergeCell ref="B50:E50"/>
    <mergeCell ref="T77:X77"/>
  </mergeCells>
  <printOptions/>
  <pageMargins left="0.7875" right="0.7875" top="1.0263888888888888" bottom="1.0263888888888888" header="0.7875" footer="0.7875"/>
  <pageSetup fitToHeight="1" fitToWidth="1" horizontalDpi="300" verticalDpi="300" orientation="landscape"/>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B3:R50"/>
  <sheetViews>
    <sheetView zoomScale="90" zoomScaleNormal="90" workbookViewId="0" topLeftCell="G1">
      <selection activeCell="V38" sqref="V38"/>
    </sheetView>
  </sheetViews>
  <sheetFormatPr defaultColWidth="12.57421875" defaultRowHeight="12.75"/>
  <cols>
    <col min="1" max="2" width="11.57421875" style="0" customWidth="1"/>
    <col min="3" max="3" width="34.57421875" style="0" customWidth="1"/>
    <col min="4" max="4" width="20.421875" style="0" customWidth="1"/>
    <col min="5" max="5" width="23.8515625" style="0" customWidth="1"/>
    <col min="6" max="6" width="13.140625" style="0" customWidth="1"/>
    <col min="7" max="7" width="44.57421875" style="0" customWidth="1"/>
    <col min="8" max="8" width="19.421875" style="0" customWidth="1"/>
    <col min="9" max="9" width="5.7109375" style="0" customWidth="1"/>
    <col min="10" max="15" width="11.57421875" style="0" customWidth="1"/>
    <col min="16" max="16" width="17.00390625" style="0" customWidth="1"/>
    <col min="17" max="17" width="19.140625" style="0" customWidth="1"/>
    <col min="18" max="16384" width="11.57421875" style="0" customWidth="1"/>
  </cols>
  <sheetData>
    <row r="3" spans="2:14" ht="12.75" customHeight="1">
      <c r="B3" s="104" t="s">
        <v>302</v>
      </c>
      <c r="C3" s="104"/>
      <c r="D3" s="104"/>
      <c r="E3" s="104"/>
      <c r="F3" s="104"/>
      <c r="G3" s="104"/>
      <c r="H3" s="104"/>
      <c r="J3" s="98" t="s">
        <v>303</v>
      </c>
      <c r="K3" s="98"/>
      <c r="L3" s="98"/>
      <c r="M3" s="98"/>
      <c r="N3" s="98"/>
    </row>
    <row r="4" spans="2:14" ht="12.75">
      <c r="B4" s="105"/>
      <c r="C4" s="105" t="s">
        <v>304</v>
      </c>
      <c r="D4" s="105" t="s">
        <v>305</v>
      </c>
      <c r="E4" s="105" t="s">
        <v>306</v>
      </c>
      <c r="F4" s="105" t="s">
        <v>307</v>
      </c>
      <c r="G4" s="105" t="s">
        <v>308</v>
      </c>
      <c r="H4" s="105" t="s">
        <v>309</v>
      </c>
      <c r="J4" s="99"/>
      <c r="K4" s="100" t="s">
        <v>310</v>
      </c>
      <c r="L4" s="100" t="s">
        <v>311</v>
      </c>
      <c r="M4" s="100" t="s">
        <v>312</v>
      </c>
      <c r="N4" s="100"/>
    </row>
    <row r="5" spans="2:14" ht="12.75">
      <c r="B5" s="105" t="s">
        <v>313</v>
      </c>
      <c r="C5" s="105" t="s">
        <v>314</v>
      </c>
      <c r="D5" s="105" t="s">
        <v>315</v>
      </c>
      <c r="E5" s="105" t="s">
        <v>316</v>
      </c>
      <c r="F5" s="105" t="s">
        <v>317</v>
      </c>
      <c r="G5" s="105" t="s">
        <v>318</v>
      </c>
      <c r="H5" s="105" t="s">
        <v>319</v>
      </c>
      <c r="J5" s="99" t="s">
        <v>320</v>
      </c>
      <c r="K5" s="106" t="s">
        <v>321</v>
      </c>
      <c r="L5" s="102" t="s">
        <v>322</v>
      </c>
      <c r="M5" s="101" t="s">
        <v>323</v>
      </c>
      <c r="N5" s="101"/>
    </row>
    <row r="6" spans="2:14" ht="12.75">
      <c r="B6" s="105" t="s">
        <v>324</v>
      </c>
      <c r="C6" s="105" t="s">
        <v>314</v>
      </c>
      <c r="D6" s="105" t="s">
        <v>325</v>
      </c>
      <c r="E6" s="105" t="s">
        <v>326</v>
      </c>
      <c r="F6" s="105" t="s">
        <v>327</v>
      </c>
      <c r="G6" s="105" t="s">
        <v>328</v>
      </c>
      <c r="H6" s="105" t="s">
        <v>329</v>
      </c>
      <c r="J6" s="99" t="s">
        <v>330</v>
      </c>
      <c r="K6" s="106" t="s">
        <v>331</v>
      </c>
      <c r="L6" s="102" t="s">
        <v>322</v>
      </c>
      <c r="M6" s="101" t="s">
        <v>323</v>
      </c>
      <c r="N6" s="101"/>
    </row>
    <row r="7" spans="2:14" ht="12.75">
      <c r="B7" s="105" t="s">
        <v>332</v>
      </c>
      <c r="C7" s="105" t="s">
        <v>333</v>
      </c>
      <c r="D7" s="105" t="s">
        <v>334</v>
      </c>
      <c r="E7" s="105" t="s">
        <v>335</v>
      </c>
      <c r="F7" s="105" t="s">
        <v>336</v>
      </c>
      <c r="G7" s="105" t="s">
        <v>337</v>
      </c>
      <c r="H7" s="105" t="s">
        <v>338</v>
      </c>
      <c r="J7" s="99" t="s">
        <v>339</v>
      </c>
      <c r="K7" s="106" t="s">
        <v>340</v>
      </c>
      <c r="L7" s="102" t="s">
        <v>322</v>
      </c>
      <c r="M7" s="101" t="s">
        <v>323</v>
      </c>
      <c r="N7" s="101"/>
    </row>
    <row r="8" spans="2:14" ht="12.75">
      <c r="B8" s="105" t="s">
        <v>341</v>
      </c>
      <c r="C8" s="105" t="s">
        <v>333</v>
      </c>
      <c r="D8" s="105" t="s">
        <v>342</v>
      </c>
      <c r="E8" s="105" t="s">
        <v>343</v>
      </c>
      <c r="F8" s="105" t="s">
        <v>344</v>
      </c>
      <c r="G8" s="105" t="s">
        <v>345</v>
      </c>
      <c r="H8" s="105" t="s">
        <v>338</v>
      </c>
      <c r="J8" s="99" t="s">
        <v>346</v>
      </c>
      <c r="K8" s="106" t="s">
        <v>347</v>
      </c>
      <c r="L8" s="102" t="s">
        <v>322</v>
      </c>
      <c r="M8" s="101" t="s">
        <v>323</v>
      </c>
      <c r="N8" s="101"/>
    </row>
    <row r="9" spans="2:14" ht="12.75">
      <c r="B9" s="105" t="s">
        <v>348</v>
      </c>
      <c r="C9" s="105" t="s">
        <v>349</v>
      </c>
      <c r="D9" s="105" t="s">
        <v>350</v>
      </c>
      <c r="E9" s="105" t="s">
        <v>351</v>
      </c>
      <c r="F9" s="105" t="s">
        <v>352</v>
      </c>
      <c r="G9" s="105" t="s">
        <v>353</v>
      </c>
      <c r="H9" s="105" t="s">
        <v>354</v>
      </c>
      <c r="J9" s="99" t="s">
        <v>355</v>
      </c>
      <c r="K9" s="106" t="s">
        <v>356</v>
      </c>
      <c r="L9" s="102" t="s">
        <v>357</v>
      </c>
      <c r="M9" s="101" t="s">
        <v>358</v>
      </c>
      <c r="N9" s="101"/>
    </row>
    <row r="10" spans="2:14" ht="12.75">
      <c r="B10" s="105" t="s">
        <v>359</v>
      </c>
      <c r="C10" s="105" t="s">
        <v>360</v>
      </c>
      <c r="D10" s="105" t="s">
        <v>361</v>
      </c>
      <c r="E10" s="105" t="s">
        <v>362</v>
      </c>
      <c r="F10" s="105" t="s">
        <v>363</v>
      </c>
      <c r="G10" s="105" t="s">
        <v>364</v>
      </c>
      <c r="H10" s="105" t="s">
        <v>365</v>
      </c>
      <c r="J10" s="99" t="s">
        <v>366</v>
      </c>
      <c r="K10" s="106" t="s">
        <v>367</v>
      </c>
      <c r="L10" s="102" t="s">
        <v>357</v>
      </c>
      <c r="M10" s="101" t="s">
        <v>358</v>
      </c>
      <c r="N10" s="101"/>
    </row>
    <row r="11" spans="2:14" ht="12.75">
      <c r="B11" s="105" t="s">
        <v>368</v>
      </c>
      <c r="C11" s="105" t="s">
        <v>369</v>
      </c>
      <c r="D11" s="105" t="s">
        <v>370</v>
      </c>
      <c r="E11" s="105" t="s">
        <v>371</v>
      </c>
      <c r="F11" s="105" t="s">
        <v>372</v>
      </c>
      <c r="G11" s="105" t="s">
        <v>373</v>
      </c>
      <c r="H11" s="105" t="s">
        <v>374</v>
      </c>
      <c r="J11" s="99" t="s">
        <v>375</v>
      </c>
      <c r="K11" s="106" t="s">
        <v>376</v>
      </c>
      <c r="L11" s="102" t="s">
        <v>377</v>
      </c>
      <c r="M11" s="101" t="s">
        <v>358</v>
      </c>
      <c r="N11" s="101"/>
    </row>
    <row r="12" spans="2:14" ht="12.75">
      <c r="B12" s="105" t="s">
        <v>378</v>
      </c>
      <c r="C12" s="105" t="s">
        <v>379</v>
      </c>
      <c r="D12" s="105" t="s">
        <v>380</v>
      </c>
      <c r="E12" s="105" t="s">
        <v>381</v>
      </c>
      <c r="F12" s="105" t="s">
        <v>382</v>
      </c>
      <c r="G12" s="105" t="s">
        <v>383</v>
      </c>
      <c r="H12" s="105" t="s">
        <v>384</v>
      </c>
      <c r="J12" s="99" t="s">
        <v>385</v>
      </c>
      <c r="K12" s="106" t="s">
        <v>386</v>
      </c>
      <c r="L12" s="102" t="s">
        <v>387</v>
      </c>
      <c r="M12" s="101" t="s">
        <v>358</v>
      </c>
      <c r="N12" s="101"/>
    </row>
    <row r="13" spans="2:14" ht="12.75">
      <c r="B13" s="105" t="s">
        <v>388</v>
      </c>
      <c r="C13" s="105" t="s">
        <v>389</v>
      </c>
      <c r="D13" s="105" t="s">
        <v>390</v>
      </c>
      <c r="E13" s="105" t="s">
        <v>391</v>
      </c>
      <c r="F13" s="105" t="s">
        <v>392</v>
      </c>
      <c r="G13" s="105" t="s">
        <v>393</v>
      </c>
      <c r="H13" s="105" t="s">
        <v>394</v>
      </c>
      <c r="J13" s="99" t="s">
        <v>395</v>
      </c>
      <c r="K13" s="106" t="s">
        <v>396</v>
      </c>
      <c r="L13" s="102" t="s">
        <v>377</v>
      </c>
      <c r="M13" s="101" t="s">
        <v>358</v>
      </c>
      <c r="N13" s="101"/>
    </row>
    <row r="14" spans="2:14" ht="12.75">
      <c r="B14" s="105" t="s">
        <v>397</v>
      </c>
      <c r="C14" s="105" t="s">
        <v>389</v>
      </c>
      <c r="D14" s="105" t="s">
        <v>398</v>
      </c>
      <c r="E14" s="107" t="s">
        <v>399</v>
      </c>
      <c r="F14" s="107" t="s">
        <v>400</v>
      </c>
      <c r="G14" s="105" t="s">
        <v>393</v>
      </c>
      <c r="H14" s="105" t="s">
        <v>401</v>
      </c>
      <c r="J14" s="99" t="s">
        <v>402</v>
      </c>
      <c r="K14" s="106" t="s">
        <v>403</v>
      </c>
      <c r="L14" s="102" t="s">
        <v>404</v>
      </c>
      <c r="M14" s="101" t="s">
        <v>405</v>
      </c>
      <c r="N14" s="101"/>
    </row>
    <row r="15" spans="2:14" ht="12.75">
      <c r="B15" s="105" t="s">
        <v>406</v>
      </c>
      <c r="C15" s="105" t="s">
        <v>389</v>
      </c>
      <c r="D15" s="105" t="s">
        <v>398</v>
      </c>
      <c r="E15" s="107" t="s">
        <v>399</v>
      </c>
      <c r="F15" s="107" t="s">
        <v>400</v>
      </c>
      <c r="G15" s="105" t="s">
        <v>393</v>
      </c>
      <c r="H15" s="105" t="s">
        <v>407</v>
      </c>
      <c r="J15" s="99" t="s">
        <v>408</v>
      </c>
      <c r="K15" s="106" t="s">
        <v>403</v>
      </c>
      <c r="L15" s="102" t="s">
        <v>409</v>
      </c>
      <c r="M15" s="101" t="s">
        <v>358</v>
      </c>
      <c r="N15" s="101"/>
    </row>
    <row r="16" spans="2:14" ht="12.75">
      <c r="B16" s="105" t="s">
        <v>410</v>
      </c>
      <c r="C16" s="107" t="s">
        <v>411</v>
      </c>
      <c r="D16" s="107" t="s">
        <v>412</v>
      </c>
      <c r="E16" s="107" t="s">
        <v>413</v>
      </c>
      <c r="F16" s="107" t="s">
        <v>414</v>
      </c>
      <c r="G16" s="105" t="s">
        <v>393</v>
      </c>
      <c r="H16" s="105" t="s">
        <v>415</v>
      </c>
      <c r="J16" s="99" t="s">
        <v>416</v>
      </c>
      <c r="K16" s="106" t="s">
        <v>403</v>
      </c>
      <c r="L16" s="102" t="s">
        <v>417</v>
      </c>
      <c r="M16" s="101" t="s">
        <v>358</v>
      </c>
      <c r="N16" s="101"/>
    </row>
    <row r="17" spans="2:14" ht="12.75">
      <c r="B17" s="105" t="s">
        <v>418</v>
      </c>
      <c r="C17" s="105" t="s">
        <v>419</v>
      </c>
      <c r="D17" s="105"/>
      <c r="E17" s="105" t="s">
        <v>419</v>
      </c>
      <c r="F17" s="105" t="s">
        <v>419</v>
      </c>
      <c r="G17" s="105" t="s">
        <v>419</v>
      </c>
      <c r="H17" s="105" t="s">
        <v>419</v>
      </c>
      <c r="J17" s="99" t="s">
        <v>420</v>
      </c>
      <c r="K17" s="106" t="s">
        <v>421</v>
      </c>
      <c r="L17" s="102" t="s">
        <v>404</v>
      </c>
      <c r="M17" s="101" t="s">
        <v>358</v>
      </c>
      <c r="N17" s="101"/>
    </row>
    <row r="18" spans="2:14" ht="12.75">
      <c r="B18" s="105" t="s">
        <v>422</v>
      </c>
      <c r="C18" s="105" t="s">
        <v>423</v>
      </c>
      <c r="D18" s="105" t="s">
        <v>424</v>
      </c>
      <c r="E18" s="105" t="s">
        <v>425</v>
      </c>
      <c r="F18" s="107" t="s">
        <v>426</v>
      </c>
      <c r="G18" s="105" t="s">
        <v>427</v>
      </c>
      <c r="H18" s="105" t="s">
        <v>428</v>
      </c>
      <c r="J18" s="99" t="s">
        <v>429</v>
      </c>
      <c r="K18" s="106" t="s">
        <v>430</v>
      </c>
      <c r="L18" s="102" t="s">
        <v>404</v>
      </c>
      <c r="M18" s="101" t="s">
        <v>358</v>
      </c>
      <c r="N18" s="103"/>
    </row>
    <row r="19" spans="2:14" ht="12.75">
      <c r="B19" s="105" t="s">
        <v>431</v>
      </c>
      <c r="C19" s="105" t="s">
        <v>423</v>
      </c>
      <c r="D19" s="107" t="s">
        <v>432</v>
      </c>
      <c r="E19" s="107" t="s">
        <v>433</v>
      </c>
      <c r="F19" s="107" t="s">
        <v>434</v>
      </c>
      <c r="G19" s="105" t="s">
        <v>427</v>
      </c>
      <c r="H19" s="105" t="s">
        <v>435</v>
      </c>
      <c r="J19" s="99" t="s">
        <v>436</v>
      </c>
      <c r="K19" s="106" t="s">
        <v>437</v>
      </c>
      <c r="L19" s="102" t="s">
        <v>404</v>
      </c>
      <c r="M19" s="103" t="s">
        <v>358</v>
      </c>
      <c r="N19" s="101"/>
    </row>
    <row r="20" spans="2:14" ht="12.75">
      <c r="B20" s="105" t="s">
        <v>438</v>
      </c>
      <c r="C20" s="105" t="s">
        <v>439</v>
      </c>
      <c r="D20" s="105" t="s">
        <v>440</v>
      </c>
      <c r="E20" s="105" t="s">
        <v>441</v>
      </c>
      <c r="F20" s="105" t="s">
        <v>442</v>
      </c>
      <c r="G20" s="105" t="s">
        <v>427</v>
      </c>
      <c r="H20" s="105" t="s">
        <v>443</v>
      </c>
      <c r="J20" s="99" t="s">
        <v>444</v>
      </c>
      <c r="K20" s="106" t="s">
        <v>445</v>
      </c>
      <c r="L20" s="102" t="s">
        <v>404</v>
      </c>
      <c r="M20" s="101" t="s">
        <v>358</v>
      </c>
      <c r="N20" s="101"/>
    </row>
    <row r="21" spans="2:14" ht="12.75">
      <c r="B21" s="105" t="s">
        <v>446</v>
      </c>
      <c r="C21" s="105" t="s">
        <v>447</v>
      </c>
      <c r="D21" s="105" t="s">
        <v>448</v>
      </c>
      <c r="E21" s="105" t="s">
        <v>449</v>
      </c>
      <c r="F21" s="105" t="s">
        <v>450</v>
      </c>
      <c r="G21" s="105" t="s">
        <v>427</v>
      </c>
      <c r="H21" s="105" t="s">
        <v>451</v>
      </c>
      <c r="J21" s="99" t="s">
        <v>452</v>
      </c>
      <c r="K21" s="106" t="s">
        <v>453</v>
      </c>
      <c r="L21" s="102" t="s">
        <v>454</v>
      </c>
      <c r="M21" s="101" t="s">
        <v>358</v>
      </c>
      <c r="N21" s="101"/>
    </row>
    <row r="22" spans="2:14" ht="12.75">
      <c r="B22" s="105" t="s">
        <v>455</v>
      </c>
      <c r="C22" s="105" t="s">
        <v>456</v>
      </c>
      <c r="D22" s="105" t="s">
        <v>457</v>
      </c>
      <c r="E22" s="105" t="s">
        <v>458</v>
      </c>
      <c r="F22" s="105" t="s">
        <v>459</v>
      </c>
      <c r="G22" s="105" t="s">
        <v>427</v>
      </c>
      <c r="H22" s="105" t="s">
        <v>460</v>
      </c>
      <c r="J22" s="99" t="s">
        <v>461</v>
      </c>
      <c r="K22" s="106" t="s">
        <v>462</v>
      </c>
      <c r="L22" s="102" t="s">
        <v>463</v>
      </c>
      <c r="M22" s="101" t="s">
        <v>464</v>
      </c>
      <c r="N22" s="101"/>
    </row>
    <row r="23" spans="2:14" ht="12.75">
      <c r="B23" s="105" t="s">
        <v>465</v>
      </c>
      <c r="C23" s="105" t="s">
        <v>456</v>
      </c>
      <c r="D23" s="105" t="s">
        <v>466</v>
      </c>
      <c r="E23" s="105" t="s">
        <v>467</v>
      </c>
      <c r="F23" s="105" t="s">
        <v>468</v>
      </c>
      <c r="G23" s="105" t="s">
        <v>427</v>
      </c>
      <c r="H23" s="105" t="s">
        <v>469</v>
      </c>
      <c r="J23" s="99" t="s">
        <v>470</v>
      </c>
      <c r="K23" s="106" t="s">
        <v>471</v>
      </c>
      <c r="L23" s="102" t="s">
        <v>472</v>
      </c>
      <c r="M23" s="101" t="s">
        <v>464</v>
      </c>
      <c r="N23" s="101"/>
    </row>
    <row r="24" spans="2:14" ht="12.75">
      <c r="B24" s="105" t="s">
        <v>473</v>
      </c>
      <c r="C24" s="105" t="s">
        <v>447</v>
      </c>
      <c r="D24" s="105" t="s">
        <v>474</v>
      </c>
      <c r="E24" s="105" t="s">
        <v>475</v>
      </c>
      <c r="F24" s="105" t="s">
        <v>476</v>
      </c>
      <c r="G24" s="105" t="s">
        <v>427</v>
      </c>
      <c r="H24" s="105" t="s">
        <v>477</v>
      </c>
      <c r="J24" s="99" t="s">
        <v>478</v>
      </c>
      <c r="K24" s="106" t="s">
        <v>479</v>
      </c>
      <c r="L24" s="102" t="s">
        <v>480</v>
      </c>
      <c r="M24" s="101" t="s">
        <v>358</v>
      </c>
      <c r="N24" s="101"/>
    </row>
    <row r="25" spans="2:14" ht="12.75">
      <c r="B25" s="105" t="s">
        <v>481</v>
      </c>
      <c r="C25" s="105" t="s">
        <v>369</v>
      </c>
      <c r="D25" s="105" t="s">
        <v>482</v>
      </c>
      <c r="E25" s="105" t="s">
        <v>483</v>
      </c>
      <c r="F25" s="105" t="s">
        <v>484</v>
      </c>
      <c r="G25" s="105" t="s">
        <v>373</v>
      </c>
      <c r="H25" s="105" t="s">
        <v>485</v>
      </c>
      <c r="J25" s="99" t="s">
        <v>486</v>
      </c>
      <c r="K25" s="106" t="s">
        <v>386</v>
      </c>
      <c r="L25" s="102" t="s">
        <v>480</v>
      </c>
      <c r="M25" s="101" t="s">
        <v>358</v>
      </c>
      <c r="N25" s="101"/>
    </row>
    <row r="26" spans="2:14" ht="12.75">
      <c r="B26" s="105" t="s">
        <v>487</v>
      </c>
      <c r="C26" s="105" t="s">
        <v>369</v>
      </c>
      <c r="D26" s="105" t="s">
        <v>488</v>
      </c>
      <c r="E26" s="105" t="s">
        <v>489</v>
      </c>
      <c r="F26" s="105" t="s">
        <v>490</v>
      </c>
      <c r="G26" s="105" t="s">
        <v>373</v>
      </c>
      <c r="H26" s="105" t="s">
        <v>485</v>
      </c>
      <c r="J26" s="99" t="s">
        <v>491</v>
      </c>
      <c r="K26" s="106" t="s">
        <v>492</v>
      </c>
      <c r="L26" s="102" t="s">
        <v>480</v>
      </c>
      <c r="M26" s="101" t="s">
        <v>358</v>
      </c>
      <c r="N26" s="101"/>
    </row>
    <row r="27" spans="10:14" ht="12.75">
      <c r="J27" s="99" t="s">
        <v>493</v>
      </c>
      <c r="K27" s="106" t="s">
        <v>494</v>
      </c>
      <c r="L27" s="102" t="s">
        <v>480</v>
      </c>
      <c r="M27" s="101" t="s">
        <v>358</v>
      </c>
      <c r="N27" s="101"/>
    </row>
    <row r="28" spans="10:14" ht="12.75">
      <c r="J28" s="99" t="s">
        <v>495</v>
      </c>
      <c r="K28" s="106" t="s">
        <v>496</v>
      </c>
      <c r="L28" s="102" t="s">
        <v>480</v>
      </c>
      <c r="M28" s="101" t="s">
        <v>358</v>
      </c>
      <c r="N28" s="101"/>
    </row>
    <row r="29" spans="10:14" ht="12.75">
      <c r="J29" s="99" t="s">
        <v>497</v>
      </c>
      <c r="K29" s="106" t="s">
        <v>498</v>
      </c>
      <c r="L29" s="102" t="s">
        <v>499</v>
      </c>
      <c r="M29" s="101" t="s">
        <v>464</v>
      </c>
      <c r="N29" s="101"/>
    </row>
    <row r="30" spans="10:14" ht="12.75">
      <c r="J30" s="99" t="s">
        <v>500</v>
      </c>
      <c r="K30" s="106" t="s">
        <v>501</v>
      </c>
      <c r="L30" s="102" t="s">
        <v>499</v>
      </c>
      <c r="M30" s="101" t="s">
        <v>464</v>
      </c>
      <c r="N30" s="101"/>
    </row>
    <row r="31" spans="10:14" ht="12.75">
      <c r="J31" s="99" t="s">
        <v>502</v>
      </c>
      <c r="K31" s="106" t="s">
        <v>503</v>
      </c>
      <c r="L31" s="102" t="s">
        <v>499</v>
      </c>
      <c r="M31" s="101" t="s">
        <v>464</v>
      </c>
      <c r="N31" s="101"/>
    </row>
    <row r="32" spans="5:14" ht="12.75">
      <c r="E32">
        <v>23</v>
      </c>
      <c r="F32">
        <v>11</v>
      </c>
      <c r="G32">
        <v>8</v>
      </c>
      <c r="J32" s="99" t="s">
        <v>504</v>
      </c>
      <c r="K32" s="102" t="s">
        <v>505</v>
      </c>
      <c r="L32" s="102" t="s">
        <v>499</v>
      </c>
      <c r="M32" s="101" t="s">
        <v>464</v>
      </c>
      <c r="N32" s="101"/>
    </row>
    <row r="33" spans="5:7" ht="12.75">
      <c r="E33">
        <v>30</v>
      </c>
      <c r="F33">
        <v>1</v>
      </c>
      <c r="G33">
        <v>14</v>
      </c>
    </row>
    <row r="34" spans="5:7" ht="12.75">
      <c r="E34">
        <v>10</v>
      </c>
      <c r="F34">
        <v>6</v>
      </c>
      <c r="G34">
        <v>14</v>
      </c>
    </row>
    <row r="35" spans="5:7" ht="12.75">
      <c r="E35">
        <v>31</v>
      </c>
      <c r="F35">
        <v>3</v>
      </c>
      <c r="G35">
        <v>14</v>
      </c>
    </row>
    <row r="36" spans="5:7" ht="12.75">
      <c r="E36" s="22">
        <f>SUM(E32:E35)</f>
        <v>94</v>
      </c>
      <c r="F36" s="22">
        <f>SUM(F32:F35)</f>
        <v>21</v>
      </c>
      <c r="G36" s="22">
        <f>SUM(G32:G35)</f>
        <v>50</v>
      </c>
    </row>
    <row r="37" ht="12.75">
      <c r="F37" s="22">
        <f>F36-12</f>
        <v>9</v>
      </c>
    </row>
    <row r="38" spans="5:7" ht="12.75">
      <c r="E38">
        <v>95</v>
      </c>
      <c r="F38">
        <v>0</v>
      </c>
      <c r="G38">
        <v>2</v>
      </c>
    </row>
    <row r="39" spans="16:18" ht="12.75">
      <c r="P39" s="108" t="s">
        <v>506</v>
      </c>
      <c r="Q39" s="108" t="s">
        <v>507</v>
      </c>
      <c r="R39" s="108" t="s">
        <v>508</v>
      </c>
    </row>
    <row r="40" spans="16:18" ht="12.75">
      <c r="P40" s="108" t="s">
        <v>509</v>
      </c>
      <c r="Q40" s="108" t="s">
        <v>510</v>
      </c>
      <c r="R40" s="108" t="s">
        <v>511</v>
      </c>
    </row>
    <row r="41" spans="16:18" ht="12.75">
      <c r="P41" s="108" t="s">
        <v>512</v>
      </c>
      <c r="Q41" s="108" t="s">
        <v>510</v>
      </c>
      <c r="R41" s="108" t="s">
        <v>513</v>
      </c>
    </row>
    <row r="42" spans="16:18" ht="12.75">
      <c r="P42" s="108" t="s">
        <v>514</v>
      </c>
      <c r="Q42" s="108" t="s">
        <v>510</v>
      </c>
      <c r="R42" s="108" t="s">
        <v>515</v>
      </c>
    </row>
    <row r="43" spans="16:18" ht="12.75">
      <c r="P43" s="108" t="s">
        <v>402</v>
      </c>
      <c r="Q43" s="108" t="s">
        <v>516</v>
      </c>
      <c r="R43" s="108" t="s">
        <v>516</v>
      </c>
    </row>
    <row r="44" spans="16:18" ht="12.75">
      <c r="P44" s="108" t="s">
        <v>420</v>
      </c>
      <c r="Q44" s="108" t="s">
        <v>517</v>
      </c>
      <c r="R44" s="108" t="s">
        <v>518</v>
      </c>
    </row>
    <row r="45" spans="16:18" ht="12.75">
      <c r="P45" s="108" t="s">
        <v>429</v>
      </c>
      <c r="Q45" s="108" t="s">
        <v>519</v>
      </c>
      <c r="R45" s="108" t="s">
        <v>520</v>
      </c>
    </row>
    <row r="46" spans="16:18" ht="12.75">
      <c r="P46" s="108" t="s">
        <v>436</v>
      </c>
      <c r="Q46" s="108" t="s">
        <v>521</v>
      </c>
      <c r="R46" s="108" t="s">
        <v>522</v>
      </c>
    </row>
    <row r="47" spans="16:18" ht="12.75">
      <c r="P47" s="108" t="s">
        <v>444</v>
      </c>
      <c r="Q47" s="108" t="s">
        <v>523</v>
      </c>
      <c r="R47" s="108" t="s">
        <v>524</v>
      </c>
    </row>
    <row r="48" spans="16:18" ht="12.75">
      <c r="P48" s="108" t="s">
        <v>525</v>
      </c>
      <c r="Q48" s="108" t="s">
        <v>526</v>
      </c>
      <c r="R48" s="108" t="s">
        <v>527</v>
      </c>
    </row>
    <row r="49" spans="16:18" ht="12.75">
      <c r="P49" t="s">
        <v>461</v>
      </c>
      <c r="Q49" s="108" t="s">
        <v>507</v>
      </c>
      <c r="R49" t="s">
        <v>528</v>
      </c>
    </row>
    <row r="50" spans="16:18" ht="12.75">
      <c r="P50" s="108" t="s">
        <v>529</v>
      </c>
      <c r="Q50" s="108" t="s">
        <v>507</v>
      </c>
      <c r="R50" s="108" t="s">
        <v>530</v>
      </c>
    </row>
  </sheetData>
  <sheetProtection selectLockedCells="1" selectUnlockedCells="1"/>
  <mergeCells count="2">
    <mergeCell ref="B3:H3"/>
    <mergeCell ref="J3:N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B2:Y121"/>
  <sheetViews>
    <sheetView zoomScale="90" zoomScaleNormal="90" workbookViewId="0" topLeftCell="A66">
      <selection activeCell="J98" sqref="J98"/>
    </sheetView>
  </sheetViews>
  <sheetFormatPr defaultColWidth="12.57421875" defaultRowHeight="12.75"/>
  <cols>
    <col min="1" max="1" width="11.57421875" style="0" customWidth="1"/>
    <col min="2" max="2" width="18.8515625" style="0" customWidth="1"/>
    <col min="3" max="3" width="33.00390625" style="0" customWidth="1"/>
    <col min="4" max="4" width="11.57421875" style="0" customWidth="1"/>
    <col min="5" max="5" width="14.28125" style="0" customWidth="1"/>
    <col min="6" max="8" width="11.57421875" style="0" customWidth="1"/>
    <col min="9" max="9" width="23.57421875" style="0" customWidth="1"/>
    <col min="10" max="16384" width="11.57421875" style="0" customWidth="1"/>
  </cols>
  <sheetData>
    <row r="2" spans="17:25" ht="12.75" customHeight="1">
      <c r="Q2" s="109" t="s">
        <v>531</v>
      </c>
      <c r="R2" s="109"/>
      <c r="S2" s="109"/>
      <c r="T2" s="109"/>
      <c r="U2" s="109"/>
      <c r="V2" s="109"/>
      <c r="W2" s="109"/>
      <c r="X2" s="109"/>
      <c r="Y2" s="109"/>
    </row>
    <row r="3" spans="2:25" ht="12.75" customHeight="1">
      <c r="B3" s="110" t="s">
        <v>532</v>
      </c>
      <c r="C3" s="110"/>
      <c r="D3" s="110"/>
      <c r="E3" s="110"/>
      <c r="F3" s="110"/>
      <c r="G3" s="110"/>
      <c r="I3" s="111" t="s">
        <v>533</v>
      </c>
      <c r="J3" s="112" t="s">
        <v>534</v>
      </c>
      <c r="Q3" s="52" t="s">
        <v>535</v>
      </c>
      <c r="R3" s="52"/>
      <c r="S3" s="52"/>
      <c r="T3" s="52"/>
      <c r="U3" s="52"/>
      <c r="W3" s="52" t="s">
        <v>536</v>
      </c>
      <c r="X3" s="52"/>
      <c r="Y3" s="52"/>
    </row>
    <row r="4" spans="2:25" ht="12.75" customHeight="1">
      <c r="B4" s="98" t="s">
        <v>537</v>
      </c>
      <c r="C4" s="98"/>
      <c r="D4" s="98"/>
      <c r="E4" s="98"/>
      <c r="F4" s="98"/>
      <c r="G4" s="98"/>
      <c r="H4">
        <v>1</v>
      </c>
      <c r="I4" s="42" t="str">
        <f>B4</f>
        <v>Floor Level 1: Subfloor</v>
      </c>
      <c r="J4" s="56">
        <f>G9</f>
        <v>4156.887735</v>
      </c>
      <c r="Q4" s="58" t="s">
        <v>538</v>
      </c>
      <c r="R4">
        <v>38</v>
      </c>
      <c r="T4" t="s">
        <v>539</v>
      </c>
      <c r="U4" s="113">
        <v>14</v>
      </c>
      <c r="W4" s="58" t="s">
        <v>540</v>
      </c>
      <c r="Y4" s="113"/>
    </row>
    <row r="5" spans="2:25" ht="12.75">
      <c r="B5" s="114" t="s">
        <v>541</v>
      </c>
      <c r="C5" s="115" t="s">
        <v>542</v>
      </c>
      <c r="D5" s="115" t="s">
        <v>543</v>
      </c>
      <c r="E5" s="72" t="s">
        <v>544</v>
      </c>
      <c r="F5" s="72" t="s">
        <v>545</v>
      </c>
      <c r="G5" s="116" t="s">
        <v>6</v>
      </c>
      <c r="H5">
        <v>2</v>
      </c>
      <c r="I5" s="42" t="str">
        <f>B10</f>
        <v>Floor Level 2: Subfloor</v>
      </c>
      <c r="J5" s="56">
        <f>G17</f>
        <v>2158.72238725</v>
      </c>
      <c r="Q5" s="58" t="s">
        <v>98</v>
      </c>
      <c r="R5">
        <v>96</v>
      </c>
      <c r="T5" t="s">
        <v>546</v>
      </c>
      <c r="U5" s="113">
        <f>Y9</f>
        <v>1.29625</v>
      </c>
      <c r="W5" s="58" t="s">
        <v>547</v>
      </c>
      <c r="Y5" s="113"/>
    </row>
    <row r="6" spans="2:25" ht="12.75">
      <c r="B6" s="114" t="s">
        <v>548</v>
      </c>
      <c r="C6" s="115" t="s">
        <v>549</v>
      </c>
      <c r="D6" s="72" t="s">
        <v>550</v>
      </c>
      <c r="E6" s="115">
        <f>73*36</f>
        <v>2628</v>
      </c>
      <c r="F6" s="117">
        <f>Retail_Prices!H47</f>
        <v>1.09970575</v>
      </c>
      <c r="G6" s="118">
        <f>E6*F6</f>
        <v>2890.026711</v>
      </c>
      <c r="H6">
        <v>3</v>
      </c>
      <c r="I6" s="42" t="str">
        <f>B18</f>
        <v>Floor Level 1: Joists</v>
      </c>
      <c r="J6" s="56">
        <f>G23</f>
        <v>7003.31102471</v>
      </c>
      <c r="Q6" s="58" t="s">
        <v>551</v>
      </c>
      <c r="R6" s="22">
        <f>16/12</f>
        <v>1.3333333333333333</v>
      </c>
      <c r="T6" t="s">
        <v>552</v>
      </c>
      <c r="U6" s="113">
        <f>R11*U4*U5</f>
        <v>3919.8599999999997</v>
      </c>
      <c r="W6" s="58" t="s">
        <v>553</v>
      </c>
      <c r="Y6" s="113"/>
    </row>
    <row r="7" spans="2:25" ht="12.75">
      <c r="B7" s="114" t="s">
        <v>554</v>
      </c>
      <c r="C7" s="115" t="s">
        <v>549</v>
      </c>
      <c r="D7" s="115" t="s">
        <v>555</v>
      </c>
      <c r="E7" s="72">
        <f>16*36</f>
        <v>576</v>
      </c>
      <c r="F7" s="117">
        <f>Retail_Prices!H47</f>
        <v>1.09970575</v>
      </c>
      <c r="G7" s="118">
        <f>E7*F7</f>
        <v>633.430512</v>
      </c>
      <c r="H7">
        <v>4</v>
      </c>
      <c r="I7" s="42" t="str">
        <f>B24</f>
        <v>Floor Level 2: Joists</v>
      </c>
      <c r="J7" s="56">
        <f>G32</f>
        <v>6216.217847125</v>
      </c>
      <c r="Q7" s="58" t="s">
        <v>556</v>
      </c>
      <c r="R7">
        <v>2</v>
      </c>
      <c r="U7" s="113"/>
      <c r="W7" s="58" t="s">
        <v>557</v>
      </c>
      <c r="Y7" s="113"/>
    </row>
    <row r="8" spans="2:25" ht="12.75">
      <c r="B8" s="114" t="s">
        <v>558</v>
      </c>
      <c r="C8" s="115" t="s">
        <v>549</v>
      </c>
      <c r="D8" s="72">
        <v>35.7395</v>
      </c>
      <c r="E8" s="72">
        <f>16*36</f>
        <v>576</v>
      </c>
      <c r="F8" s="117">
        <f>Retail_Prices!H47</f>
        <v>1.09970575</v>
      </c>
      <c r="G8" s="118">
        <f>E8*F8</f>
        <v>633.430512</v>
      </c>
      <c r="H8">
        <v>5</v>
      </c>
      <c r="I8" s="42" t="str">
        <f>B33</f>
        <v>Floor Level 2: Beams</v>
      </c>
      <c r="J8" s="56">
        <f>G38</f>
        <v>1535.6936833333332</v>
      </c>
      <c r="Q8" s="58" t="s">
        <v>559</v>
      </c>
      <c r="R8" s="22">
        <f>R7+1</f>
        <v>3</v>
      </c>
      <c r="U8" s="113"/>
      <c r="W8" s="43" t="s">
        <v>560</v>
      </c>
      <c r="X8" s="28"/>
      <c r="Y8" s="119" t="s">
        <v>561</v>
      </c>
    </row>
    <row r="9" spans="2:25" ht="12.75" customHeight="1">
      <c r="B9" s="120" t="s">
        <v>6</v>
      </c>
      <c r="C9" s="120"/>
      <c r="D9" s="120"/>
      <c r="E9" s="120"/>
      <c r="F9" s="120"/>
      <c r="G9" s="121">
        <f>SUM(G6:G8)</f>
        <v>4156.887735</v>
      </c>
      <c r="H9">
        <v>6</v>
      </c>
      <c r="I9" s="42" t="str">
        <f>B39</f>
        <v>Floor Level 2: Hardware</v>
      </c>
      <c r="J9" s="56">
        <f>G46</f>
        <v>282.502792</v>
      </c>
      <c r="Q9" s="58" t="s">
        <v>562</v>
      </c>
      <c r="R9" s="22">
        <f>R5/R6</f>
        <v>72</v>
      </c>
      <c r="U9" s="113"/>
      <c r="W9" s="58" t="s">
        <v>563</v>
      </c>
      <c r="X9" t="s">
        <v>564</v>
      </c>
      <c r="Y9" s="113">
        <f>20.74/16</f>
        <v>1.29625</v>
      </c>
    </row>
    <row r="10" spans="2:25" ht="12.75" customHeight="1">
      <c r="B10" s="98" t="s">
        <v>565</v>
      </c>
      <c r="C10" s="98"/>
      <c r="D10" s="98"/>
      <c r="E10" s="98"/>
      <c r="F10" s="98"/>
      <c r="G10" s="98"/>
      <c r="H10">
        <v>7</v>
      </c>
      <c r="I10" s="42" t="str">
        <f>B47</f>
        <v>Floor Level 1: Cripple Wall</v>
      </c>
      <c r="J10" s="56">
        <f>G52</f>
        <v>348.10997363999996</v>
      </c>
      <c r="Q10" s="58" t="s">
        <v>566</v>
      </c>
      <c r="R10" s="22">
        <f>R4/(R8)</f>
        <v>12.666666666666666</v>
      </c>
      <c r="U10" s="113"/>
      <c r="W10" s="58" t="s">
        <v>567</v>
      </c>
      <c r="X10" s="57"/>
      <c r="Y10" s="113">
        <v>1.6</v>
      </c>
    </row>
    <row r="11" spans="2:25" ht="12.75">
      <c r="B11" s="114" t="s">
        <v>541</v>
      </c>
      <c r="C11" s="115" t="s">
        <v>542</v>
      </c>
      <c r="D11" s="115" t="s">
        <v>543</v>
      </c>
      <c r="E11" s="72" t="s">
        <v>544</v>
      </c>
      <c r="F11" s="72" t="s">
        <v>545</v>
      </c>
      <c r="G11" s="118" t="s">
        <v>6</v>
      </c>
      <c r="H11">
        <v>8</v>
      </c>
      <c r="I11" s="42" t="str">
        <f>B53</f>
        <v>Floor Level 1/2: Rim Board, Blocking, Bracing, &amp; Sill Plate</v>
      </c>
      <c r="J11" s="56">
        <f>G61</f>
        <v>4592.05052449</v>
      </c>
      <c r="Q11" s="58" t="s">
        <v>568</v>
      </c>
      <c r="R11" s="22">
        <f>R8*R9</f>
        <v>216</v>
      </c>
      <c r="U11" s="113"/>
      <c r="W11" s="58" t="s">
        <v>569</v>
      </c>
      <c r="X11" s="57"/>
      <c r="Y11" s="113"/>
    </row>
    <row r="12" spans="2:25" ht="12.75">
      <c r="B12" s="114" t="s">
        <v>570</v>
      </c>
      <c r="C12" s="122" t="s">
        <v>549</v>
      </c>
      <c r="D12" s="72" t="s">
        <v>571</v>
      </c>
      <c r="E12" s="115">
        <f>15.5*42</f>
        <v>651</v>
      </c>
      <c r="F12" s="117">
        <f>Retail_Prices!H47</f>
        <v>1.09970575</v>
      </c>
      <c r="G12" s="118">
        <f>E12*F12</f>
        <v>715.90844325</v>
      </c>
      <c r="H12">
        <v>9</v>
      </c>
      <c r="I12" s="42" t="str">
        <f>B62</f>
        <v>Floor Level 1: Stem Walls</v>
      </c>
      <c r="J12" s="56">
        <f>G69</f>
        <v>4807.514770344001</v>
      </c>
      <c r="Q12" s="58"/>
      <c r="U12" s="113"/>
      <c r="W12" s="77" t="s">
        <v>572</v>
      </c>
      <c r="X12" s="18"/>
      <c r="Y12" s="78">
        <v>2.45</v>
      </c>
    </row>
    <row r="13" spans="2:21" ht="12.75">
      <c r="B13" s="114" t="s">
        <v>573</v>
      </c>
      <c r="C13" s="122" t="s">
        <v>549</v>
      </c>
      <c r="D13" s="115" t="s">
        <v>574</v>
      </c>
      <c r="E13" s="72">
        <f>4*20</f>
        <v>80</v>
      </c>
      <c r="F13" s="117">
        <f>Retail_Prices!H47</f>
        <v>1.09970575</v>
      </c>
      <c r="G13" s="118">
        <f>E13*F13</f>
        <v>87.97646</v>
      </c>
      <c r="H13">
        <v>10</v>
      </c>
      <c r="I13" s="42" t="str">
        <f>B70</f>
        <v>Floor Level 1: Garage Slab</v>
      </c>
      <c r="J13" s="56">
        <f>G77</f>
        <v>4722.852838619259</v>
      </c>
      <c r="Q13" s="77"/>
      <c r="R13" s="18"/>
      <c r="S13" s="18"/>
      <c r="T13" s="18"/>
      <c r="U13" s="78"/>
    </row>
    <row r="14" spans="2:10" ht="12.75">
      <c r="B14" s="114" t="s">
        <v>575</v>
      </c>
      <c r="C14" s="122" t="s">
        <v>549</v>
      </c>
      <c r="D14" s="115" t="s">
        <v>574</v>
      </c>
      <c r="E14" s="72">
        <f>4*20</f>
        <v>80</v>
      </c>
      <c r="F14" s="117">
        <f>Retail_Prices!H47</f>
        <v>1.09970575</v>
      </c>
      <c r="G14" s="118">
        <f>E14*F14</f>
        <v>87.97646</v>
      </c>
      <c r="H14">
        <v>11</v>
      </c>
      <c r="I14" s="44" t="str">
        <f>B78</f>
        <v>Porches Slab / Deck</v>
      </c>
      <c r="J14" s="56">
        <f>G85</f>
        <v>4985.197964851853</v>
      </c>
    </row>
    <row r="15" spans="2:10" ht="12.75">
      <c r="B15" s="114" t="s">
        <v>576</v>
      </c>
      <c r="C15" s="122" t="s">
        <v>549</v>
      </c>
      <c r="D15" s="115" t="s">
        <v>555</v>
      </c>
      <c r="E15" s="72">
        <f>16*36</f>
        <v>576</v>
      </c>
      <c r="F15" s="117">
        <f>Retail_Prices!H47</f>
        <v>1.09970575</v>
      </c>
      <c r="G15" s="118">
        <f>E15*F15</f>
        <v>633.430512</v>
      </c>
      <c r="H15">
        <v>12</v>
      </c>
      <c r="I15" s="42" t="str">
        <f>B86</f>
        <v>Floor Level 1: Footer</v>
      </c>
      <c r="J15" s="56">
        <f>G93</f>
        <v>4343.939559748148</v>
      </c>
    </row>
    <row r="16" spans="2:25" ht="12.75" customHeight="1">
      <c r="B16" s="114" t="s">
        <v>577</v>
      </c>
      <c r="C16" s="122" t="s">
        <v>549</v>
      </c>
      <c r="D16" s="72">
        <v>35.7395</v>
      </c>
      <c r="E16" s="72">
        <f>16*36</f>
        <v>576</v>
      </c>
      <c r="F16" s="117">
        <f>Retail_Prices!H47</f>
        <v>1.09970575</v>
      </c>
      <c r="G16" s="118">
        <f>E16*F16</f>
        <v>633.430512</v>
      </c>
      <c r="H16">
        <v>13</v>
      </c>
      <c r="I16" s="42" t="str">
        <f>B94</f>
        <v>Hardware</v>
      </c>
      <c r="J16" s="56">
        <f>G104</f>
        <v>439.5706614425177</v>
      </c>
      <c r="Q16" s="52" t="s">
        <v>578</v>
      </c>
      <c r="R16" s="52"/>
      <c r="S16" s="52"/>
      <c r="T16" s="52"/>
      <c r="U16" s="52"/>
      <c r="W16" s="52" t="s">
        <v>536</v>
      </c>
      <c r="X16" s="52"/>
      <c r="Y16" s="52"/>
    </row>
    <row r="17" spans="2:25" ht="12.75" customHeight="1">
      <c r="B17" s="120" t="s">
        <v>6</v>
      </c>
      <c r="C17" s="120"/>
      <c r="D17" s="120"/>
      <c r="E17" s="120"/>
      <c r="F17" s="120"/>
      <c r="G17" s="121">
        <f>SUM(G12:G16)</f>
        <v>2158.72238725</v>
      </c>
      <c r="H17">
        <v>14</v>
      </c>
      <c r="I17" s="42" t="str">
        <f>B105</f>
        <v>Crawlspace</v>
      </c>
      <c r="J17" s="56">
        <f>G111</f>
        <v>3035.965768</v>
      </c>
      <c r="Q17" s="58" t="s">
        <v>538</v>
      </c>
      <c r="R17">
        <v>38</v>
      </c>
      <c r="T17" t="s">
        <v>539</v>
      </c>
      <c r="U17" s="113">
        <v>12.5</v>
      </c>
      <c r="W17" s="61" t="s">
        <v>579</v>
      </c>
      <c r="Y17" s="113"/>
    </row>
    <row r="18" spans="2:25" ht="12.75" customHeight="1">
      <c r="B18" s="98" t="s">
        <v>580</v>
      </c>
      <c r="C18" s="98"/>
      <c r="D18" s="98"/>
      <c r="E18" s="98"/>
      <c r="F18" s="98"/>
      <c r="G18" s="98"/>
      <c r="H18">
        <v>15</v>
      </c>
      <c r="I18" s="42" t="str">
        <f>B113</f>
        <v>Misc</v>
      </c>
      <c r="J18" s="56">
        <f>G119</f>
        <v>1100</v>
      </c>
      <c r="Q18" s="58" t="s">
        <v>98</v>
      </c>
      <c r="R18">
        <v>96</v>
      </c>
      <c r="T18" t="s">
        <v>546</v>
      </c>
      <c r="U18" s="113">
        <f>Y24</f>
        <v>1.49</v>
      </c>
      <c r="W18" s="58"/>
      <c r="Y18" s="113"/>
    </row>
    <row r="19" spans="2:25" ht="12.75">
      <c r="B19" s="114" t="s">
        <v>581</v>
      </c>
      <c r="C19" s="115" t="s">
        <v>543</v>
      </c>
      <c r="D19" s="72" t="s">
        <v>98</v>
      </c>
      <c r="E19" s="115" t="s">
        <v>582</v>
      </c>
      <c r="F19" s="72" t="s">
        <v>583</v>
      </c>
      <c r="G19" s="118" t="s">
        <v>6</v>
      </c>
      <c r="I19" s="42"/>
      <c r="J19" s="113"/>
      <c r="Q19" s="58" t="s">
        <v>551</v>
      </c>
      <c r="R19" s="22">
        <f>16/12</f>
        <v>1.3333333333333333</v>
      </c>
      <c r="T19" t="s">
        <v>552</v>
      </c>
      <c r="U19" s="113">
        <f>R24*U17*U18</f>
        <v>4023</v>
      </c>
      <c r="W19" s="58"/>
      <c r="Y19" s="113"/>
    </row>
    <row r="20" spans="2:25" ht="12.75">
      <c r="B20" s="114" t="s">
        <v>584</v>
      </c>
      <c r="C20" s="115" t="s">
        <v>585</v>
      </c>
      <c r="D20" s="72">
        <v>16</v>
      </c>
      <c r="E20" s="115">
        <v>23</v>
      </c>
      <c r="F20" s="117">
        <f>Retail_Prices!H57</f>
        <v>2.6626600000000002</v>
      </c>
      <c r="G20" s="118">
        <f>D20*E20*F20</f>
        <v>979.8588800000001</v>
      </c>
      <c r="I20" s="123" t="s">
        <v>6</v>
      </c>
      <c r="J20" s="124">
        <f>SUM(J4:J19)</f>
        <v>49728.53753055411</v>
      </c>
      <c r="Q20" s="58" t="s">
        <v>556</v>
      </c>
      <c r="R20">
        <v>2</v>
      </c>
      <c r="U20" s="113"/>
      <c r="W20" s="58"/>
      <c r="Y20" s="113"/>
    </row>
    <row r="21" spans="2:25" ht="12.75">
      <c r="B21" s="114" t="s">
        <v>586</v>
      </c>
      <c r="C21" s="115" t="s">
        <v>585</v>
      </c>
      <c r="D21" s="115">
        <v>16</v>
      </c>
      <c r="E21" s="72">
        <v>23</v>
      </c>
      <c r="F21" s="117">
        <f>Retail_Prices!H57</f>
        <v>2.6626600000000002</v>
      </c>
      <c r="G21" s="118">
        <f>D21*E21*F21</f>
        <v>979.8588800000001</v>
      </c>
      <c r="Q21" s="58" t="s">
        <v>559</v>
      </c>
      <c r="R21" s="22">
        <f>R20+1</f>
        <v>3</v>
      </c>
      <c r="U21" s="113"/>
      <c r="W21" s="43" t="s">
        <v>560</v>
      </c>
      <c r="X21" s="28"/>
      <c r="Y21" s="119" t="s">
        <v>561</v>
      </c>
    </row>
    <row r="22" spans="2:25" ht="12.75">
      <c r="B22" s="114" t="s">
        <v>587</v>
      </c>
      <c r="C22" s="115" t="s">
        <v>585</v>
      </c>
      <c r="D22" s="72">
        <v>35.7395</v>
      </c>
      <c r="E22" s="115">
        <v>53</v>
      </c>
      <c r="F22" s="117">
        <f>Retail_Prices!H57</f>
        <v>2.6626600000000002</v>
      </c>
      <c r="G22" s="118">
        <f>D22*E22*F22</f>
        <v>5043.593264710001</v>
      </c>
      <c r="I22" t="s">
        <v>588</v>
      </c>
      <c r="J22" s="22">
        <f>36*96+512+512</f>
        <v>4480</v>
      </c>
      <c r="Q22" s="58" t="s">
        <v>562</v>
      </c>
      <c r="R22" s="22">
        <f>R18/R19</f>
        <v>72</v>
      </c>
      <c r="U22" s="113"/>
      <c r="W22" s="58"/>
      <c r="Y22" s="113"/>
    </row>
    <row r="23" spans="2:25" ht="12.75" customHeight="1">
      <c r="B23" s="120" t="s">
        <v>6</v>
      </c>
      <c r="C23" s="120"/>
      <c r="D23" s="120"/>
      <c r="E23" s="120"/>
      <c r="F23" s="120"/>
      <c r="G23" s="121">
        <f>SUM(G20:G22)</f>
        <v>7003.31102471</v>
      </c>
      <c r="I23" t="s">
        <v>589</v>
      </c>
      <c r="J23" s="12">
        <f>J20/J22</f>
        <v>11.100119984498685</v>
      </c>
      <c r="Q23" s="58" t="s">
        <v>566</v>
      </c>
      <c r="R23" s="22">
        <f>R17/(R21)</f>
        <v>12.666666666666666</v>
      </c>
      <c r="U23" s="113"/>
      <c r="W23" s="58"/>
      <c r="X23" s="57"/>
      <c r="Y23" s="113"/>
    </row>
    <row r="24" spans="2:25" ht="12.75" customHeight="1">
      <c r="B24" s="98" t="s">
        <v>590</v>
      </c>
      <c r="C24" s="98"/>
      <c r="D24" s="98"/>
      <c r="E24" s="98"/>
      <c r="F24" s="98"/>
      <c r="G24" s="98"/>
      <c r="Q24" s="58" t="s">
        <v>568</v>
      </c>
      <c r="R24" s="22">
        <f>R21*R22</f>
        <v>216</v>
      </c>
      <c r="U24" s="113"/>
      <c r="W24" s="58" t="s">
        <v>569</v>
      </c>
      <c r="X24" s="57" t="s">
        <v>591</v>
      </c>
      <c r="Y24" s="113">
        <f>23.84/16</f>
        <v>1.49</v>
      </c>
    </row>
    <row r="25" spans="2:25" ht="12.75">
      <c r="B25" s="125" t="s">
        <v>581</v>
      </c>
      <c r="C25" s="126" t="s">
        <v>543</v>
      </c>
      <c r="D25" s="126" t="s">
        <v>98</v>
      </c>
      <c r="E25" s="126" t="s">
        <v>582</v>
      </c>
      <c r="F25" s="126" t="s">
        <v>583</v>
      </c>
      <c r="G25" s="127" t="s">
        <v>6</v>
      </c>
      <c r="Q25" s="58"/>
      <c r="U25" s="113"/>
      <c r="W25" s="77"/>
      <c r="X25" s="18"/>
      <c r="Y25" s="78"/>
    </row>
    <row r="26" spans="2:21" ht="12.75">
      <c r="B26" s="114" t="s">
        <v>592</v>
      </c>
      <c r="C26" s="128" t="s">
        <v>593</v>
      </c>
      <c r="D26" s="129">
        <f>20.5+13/16</f>
        <v>21.3125</v>
      </c>
      <c r="E26" s="128">
        <v>4</v>
      </c>
      <c r="F26" s="130">
        <f>Retail_Prices!H34</f>
        <v>3.510364</v>
      </c>
      <c r="G26" s="131">
        <f>D26*E26*F26</f>
        <v>299.258531</v>
      </c>
      <c r="Q26" s="77"/>
      <c r="R26" s="18"/>
      <c r="S26" s="18"/>
      <c r="T26" s="18"/>
      <c r="U26" s="78"/>
    </row>
    <row r="27" spans="2:7" ht="12.75">
      <c r="B27" s="114" t="s">
        <v>594</v>
      </c>
      <c r="C27" s="128" t="s">
        <v>593</v>
      </c>
      <c r="D27" s="128">
        <v>18.5</v>
      </c>
      <c r="E27" s="129">
        <v>4</v>
      </c>
      <c r="F27" s="130">
        <f>F26</f>
        <v>3.510364</v>
      </c>
      <c r="G27" s="131">
        <f>D27*E27*F27</f>
        <v>259.766936</v>
      </c>
    </row>
    <row r="28" spans="2:8" ht="12.75">
      <c r="B28" s="114" t="s">
        <v>595</v>
      </c>
      <c r="C28" s="129" t="s">
        <v>596</v>
      </c>
      <c r="D28" s="129">
        <f>17+(9.25/16)</f>
        <v>17.578125</v>
      </c>
      <c r="E28" s="128">
        <v>13</v>
      </c>
      <c r="F28" s="130">
        <f>Retail_Prices!H57</f>
        <v>2.6626600000000002</v>
      </c>
      <c r="G28" s="131">
        <f>D28*E28*F28</f>
        <v>608.4594140625001</v>
      </c>
      <c r="H28" s="91"/>
    </row>
    <row r="29" spans="2:21" ht="12.75" customHeight="1">
      <c r="B29" s="114" t="s">
        <v>597</v>
      </c>
      <c r="C29" s="129" t="s">
        <v>596</v>
      </c>
      <c r="D29" s="129">
        <f>17+(9.25/16)</f>
        <v>17.578125</v>
      </c>
      <c r="E29" s="129">
        <v>13</v>
      </c>
      <c r="F29" s="130">
        <f>Retail_Prices!H57</f>
        <v>2.6626600000000002</v>
      </c>
      <c r="G29" s="131">
        <f>D29*E29*F29</f>
        <v>608.4594140625001</v>
      </c>
      <c r="H29" s="91"/>
      <c r="Q29" s="52" t="s">
        <v>598</v>
      </c>
      <c r="R29" s="52"/>
      <c r="S29" s="52"/>
      <c r="T29" s="52"/>
      <c r="U29" s="52"/>
    </row>
    <row r="30" spans="2:21" ht="12.75">
      <c r="B30" s="114" t="s">
        <v>599</v>
      </c>
      <c r="C30" s="128" t="s">
        <v>593</v>
      </c>
      <c r="D30" s="129">
        <v>36</v>
      </c>
      <c r="E30" s="129">
        <v>23</v>
      </c>
      <c r="F30" s="130">
        <f>F26</f>
        <v>3.510364</v>
      </c>
      <c r="G30" s="131">
        <f>D30*E30*F30</f>
        <v>2906.581392</v>
      </c>
      <c r="H30" s="91"/>
      <c r="Q30" s="58" t="s">
        <v>538</v>
      </c>
      <c r="R30">
        <v>38</v>
      </c>
      <c r="T30" t="s">
        <v>539</v>
      </c>
      <c r="U30" s="113">
        <v>12.5</v>
      </c>
    </row>
    <row r="31" spans="2:21" ht="12.75">
      <c r="B31" s="114" t="s">
        <v>600</v>
      </c>
      <c r="C31" s="129" t="s">
        <v>596</v>
      </c>
      <c r="D31" s="129">
        <v>36</v>
      </c>
      <c r="E31" s="129">
        <v>16</v>
      </c>
      <c r="F31" s="130">
        <f>Retail_Prices!H57</f>
        <v>2.6626600000000002</v>
      </c>
      <c r="G31" s="131">
        <f>D31*E31*F31</f>
        <v>1533.69216</v>
      </c>
      <c r="H31" s="91"/>
      <c r="Q31" s="58" t="s">
        <v>98</v>
      </c>
      <c r="R31">
        <v>96</v>
      </c>
      <c r="T31" t="s">
        <v>546</v>
      </c>
      <c r="U31" s="113">
        <f>R51*U30*D24</f>
        <v>0</v>
      </c>
    </row>
    <row r="32" spans="2:21" ht="12.75">
      <c r="B32" s="120" t="s">
        <v>6</v>
      </c>
      <c r="C32" s="120"/>
      <c r="D32" s="120"/>
      <c r="E32" s="120"/>
      <c r="F32" s="120"/>
      <c r="G32" s="132">
        <f>SUM(G26:G31)</f>
        <v>6216.217847125</v>
      </c>
      <c r="H32" s="71"/>
      <c r="Q32" s="58" t="s">
        <v>551</v>
      </c>
      <c r="R32" s="22">
        <f>24/12</f>
        <v>2</v>
      </c>
      <c r="T32" t="s">
        <v>552</v>
      </c>
      <c r="U32" s="113" t="e">
        <f>U31*R52*D71</f>
        <v>#VALUE!</v>
      </c>
    </row>
    <row r="33" spans="2:21" ht="12.75" customHeight="1">
      <c r="B33" s="98" t="s">
        <v>601</v>
      </c>
      <c r="C33" s="98"/>
      <c r="D33" s="98"/>
      <c r="E33" s="98"/>
      <c r="F33" s="98"/>
      <c r="G33" s="98"/>
      <c r="H33" s="71"/>
      <c r="Q33" s="58"/>
      <c r="R33" s="22"/>
      <c r="U33" s="113"/>
    </row>
    <row r="34" spans="2:21" ht="12.75">
      <c r="B34" s="125" t="s">
        <v>581</v>
      </c>
      <c r="C34" s="126" t="s">
        <v>543</v>
      </c>
      <c r="D34" s="126"/>
      <c r="E34" s="126" t="s">
        <v>98</v>
      </c>
      <c r="F34" s="126" t="s">
        <v>583</v>
      </c>
      <c r="G34" s="127" t="s">
        <v>6</v>
      </c>
      <c r="H34" s="71"/>
      <c r="Q34" s="58"/>
      <c r="R34" s="22"/>
      <c r="U34" s="113"/>
    </row>
    <row r="35" spans="2:21" ht="12.75">
      <c r="B35" s="114" t="s">
        <v>313</v>
      </c>
      <c r="C35" s="128" t="s">
        <v>602</v>
      </c>
      <c r="D35" s="129"/>
      <c r="E35" s="128">
        <f>22+10/12</f>
        <v>22.833333333333332</v>
      </c>
      <c r="F35" s="130">
        <f>Retail_Prices!H76</f>
        <v>35.26666</v>
      </c>
      <c r="G35" s="131">
        <f>E35*F35</f>
        <v>805.2554033333333</v>
      </c>
      <c r="H35" s="71"/>
      <c r="Q35" s="58"/>
      <c r="R35" s="22"/>
      <c r="U35" s="113"/>
    </row>
    <row r="36" spans="2:21" ht="12.75">
      <c r="B36" s="114" t="s">
        <v>324</v>
      </c>
      <c r="C36" s="128" t="s">
        <v>603</v>
      </c>
      <c r="D36" s="128"/>
      <c r="E36" s="129">
        <f>25+5.5/12</f>
        <v>25.458333333333332</v>
      </c>
      <c r="F36" s="130">
        <f>Retail_Prices!H75</f>
        <v>28.691519999999997</v>
      </c>
      <c r="G36" s="131">
        <f>E36*F36</f>
        <v>730.4382799999998</v>
      </c>
      <c r="H36" s="71"/>
      <c r="Q36" s="58"/>
      <c r="R36" s="22"/>
      <c r="U36" s="113"/>
    </row>
    <row r="37" spans="2:21" ht="12.75">
      <c r="B37" s="114"/>
      <c r="C37" s="129"/>
      <c r="D37" s="129"/>
      <c r="E37" s="128"/>
      <c r="F37" s="130"/>
      <c r="G37" s="131"/>
      <c r="H37" s="71"/>
      <c r="Q37" s="58"/>
      <c r="R37" s="22"/>
      <c r="U37" s="113"/>
    </row>
    <row r="38" spans="2:21" ht="12.75" customHeight="1">
      <c r="B38" s="120" t="s">
        <v>6</v>
      </c>
      <c r="C38" s="120"/>
      <c r="D38" s="120"/>
      <c r="E38" s="120"/>
      <c r="F38" s="120"/>
      <c r="G38" s="132">
        <f>SUM(G35:G37)</f>
        <v>1535.6936833333332</v>
      </c>
      <c r="H38" s="71"/>
      <c r="Q38" s="58"/>
      <c r="R38" s="22"/>
      <c r="U38" s="113"/>
    </row>
    <row r="39" spans="2:21" ht="12.75">
      <c r="B39" s="133" t="s">
        <v>604</v>
      </c>
      <c r="C39" s="133"/>
      <c r="D39" s="133"/>
      <c r="E39" s="133"/>
      <c r="F39" s="133"/>
      <c r="G39" s="133"/>
      <c r="H39" s="71"/>
      <c r="Q39" s="58"/>
      <c r="R39" s="22"/>
      <c r="U39" s="113"/>
    </row>
    <row r="40" spans="2:21" ht="12.75">
      <c r="B40" s="134" t="s">
        <v>605</v>
      </c>
      <c r="C40" s="135" t="s">
        <v>606</v>
      </c>
      <c r="D40" s="136"/>
      <c r="E40" s="135" t="s">
        <v>607</v>
      </c>
      <c r="F40" s="136" t="s">
        <v>608</v>
      </c>
      <c r="G40" s="137" t="s">
        <v>6</v>
      </c>
      <c r="H40" s="71"/>
      <c r="Q40" s="58"/>
      <c r="R40" s="22"/>
      <c r="U40" s="113"/>
    </row>
    <row r="41" spans="2:21" ht="12.75">
      <c r="B41" s="134" t="s">
        <v>592</v>
      </c>
      <c r="C41" s="135" t="s">
        <v>609</v>
      </c>
      <c r="D41" s="136"/>
      <c r="E41" s="135">
        <f>13*2</f>
        <v>26</v>
      </c>
      <c r="F41" s="138">
        <f>Retail_Prices!H220</f>
        <v>5.314451999999999</v>
      </c>
      <c r="G41" s="139">
        <f>E41*F41</f>
        <v>138.175752</v>
      </c>
      <c r="H41" s="71"/>
      <c r="Q41" s="58"/>
      <c r="R41" s="22"/>
      <c r="U41" s="113"/>
    </row>
    <row r="42" spans="2:21" ht="12.75">
      <c r="B42" s="134" t="s">
        <v>610</v>
      </c>
      <c r="C42" s="140" t="s">
        <v>611</v>
      </c>
      <c r="D42" s="136"/>
      <c r="E42" s="135">
        <v>4</v>
      </c>
      <c r="F42" s="138">
        <f>Retail_Prices!H221</f>
        <v>4.51022</v>
      </c>
      <c r="G42" s="139">
        <f>E42*F42</f>
        <v>18.04088</v>
      </c>
      <c r="H42" s="71"/>
      <c r="Q42" s="58"/>
      <c r="R42" s="22"/>
      <c r="U42" s="113"/>
    </row>
    <row r="43" spans="2:21" ht="12.75">
      <c r="B43" s="134" t="s">
        <v>597</v>
      </c>
      <c r="C43" s="140" t="s">
        <v>611</v>
      </c>
      <c r="D43" s="136"/>
      <c r="E43" s="135">
        <v>5</v>
      </c>
      <c r="F43" s="138">
        <f>Retail_Prices!H221</f>
        <v>4.51022</v>
      </c>
      <c r="G43" s="139">
        <f>E43*F43</f>
        <v>22.5511</v>
      </c>
      <c r="H43" s="71"/>
      <c r="Q43" s="58"/>
      <c r="R43" s="22"/>
      <c r="U43" s="113"/>
    </row>
    <row r="44" spans="2:21" ht="12.75">
      <c r="B44" s="134" t="s">
        <v>599</v>
      </c>
      <c r="C44" s="140" t="s">
        <v>611</v>
      </c>
      <c r="D44" s="135"/>
      <c r="E44" s="135">
        <v>23</v>
      </c>
      <c r="F44" s="141">
        <f>Retail_Prices!H221</f>
        <v>4.51022</v>
      </c>
      <c r="G44" s="139">
        <f>E44*F44</f>
        <v>103.73506</v>
      </c>
      <c r="H44" s="71"/>
      <c r="Q44" s="58"/>
      <c r="R44" s="22"/>
      <c r="U44" s="113"/>
    </row>
    <row r="45" spans="2:21" ht="12.75">
      <c r="B45" s="134"/>
      <c r="C45" s="135"/>
      <c r="D45" s="135"/>
      <c r="E45" s="135"/>
      <c r="F45" s="141"/>
      <c r="G45" s="142"/>
      <c r="H45" s="71"/>
      <c r="Q45" s="58"/>
      <c r="R45" s="22"/>
      <c r="U45" s="113"/>
    </row>
    <row r="46" spans="2:21" ht="12.75">
      <c r="B46" s="134" t="s">
        <v>6</v>
      </c>
      <c r="C46" s="134"/>
      <c r="D46" s="134"/>
      <c r="E46" s="134"/>
      <c r="F46" s="134"/>
      <c r="G46" s="143">
        <f>SUM(G41:G45)</f>
        <v>282.502792</v>
      </c>
      <c r="H46" s="71"/>
      <c r="Q46" s="58"/>
      <c r="R46" s="22"/>
      <c r="U46" s="113"/>
    </row>
    <row r="47" spans="2:21" ht="12.75" customHeight="1">
      <c r="B47" s="98" t="s">
        <v>612</v>
      </c>
      <c r="C47" s="98"/>
      <c r="D47" s="98"/>
      <c r="E47" s="98"/>
      <c r="F47" s="98"/>
      <c r="G47" s="98"/>
      <c r="Q47" s="58" t="s">
        <v>556</v>
      </c>
      <c r="R47">
        <v>2</v>
      </c>
      <c r="U47" s="113"/>
    </row>
    <row r="48" spans="2:21" ht="12.75">
      <c r="B48" s="114" t="s">
        <v>581</v>
      </c>
      <c r="C48" s="115" t="s">
        <v>543</v>
      </c>
      <c r="D48" s="72" t="s">
        <v>613</v>
      </c>
      <c r="E48" s="115" t="s">
        <v>614</v>
      </c>
      <c r="F48" s="72" t="s">
        <v>583</v>
      </c>
      <c r="G48" s="116" t="s">
        <v>6</v>
      </c>
      <c r="Q48" s="58" t="s">
        <v>559</v>
      </c>
      <c r="R48" s="22">
        <f>R47+1</f>
        <v>3</v>
      </c>
      <c r="U48" s="113"/>
    </row>
    <row r="49" spans="2:21" ht="12.75">
      <c r="B49" s="114">
        <v>1</v>
      </c>
      <c r="C49" s="115" t="s">
        <v>615</v>
      </c>
      <c r="D49" s="72">
        <v>72</v>
      </c>
      <c r="E49" s="115">
        <f>(D49*3)+(D49/1.5)*3</f>
        <v>360</v>
      </c>
      <c r="F49" s="117">
        <f>Retail_Prices!H19</f>
        <v>0.7808657999999999</v>
      </c>
      <c r="G49" s="118">
        <f>E49*F49</f>
        <v>281.11168799999996</v>
      </c>
      <c r="Q49" s="58" t="s">
        <v>562</v>
      </c>
      <c r="R49" s="22">
        <f>R31/R32</f>
        <v>48</v>
      </c>
      <c r="U49" s="113"/>
    </row>
    <row r="50" spans="2:21" ht="12.75">
      <c r="B50" s="114">
        <v>2</v>
      </c>
      <c r="C50" s="115" t="s">
        <v>615</v>
      </c>
      <c r="D50" s="72">
        <v>31</v>
      </c>
      <c r="E50" s="115">
        <f>D50*2*1.1</f>
        <v>68.2</v>
      </c>
      <c r="F50" s="117">
        <f>Retail_Prices!H19</f>
        <v>0.7808657999999999</v>
      </c>
      <c r="G50" s="118">
        <f>E50*F50</f>
        <v>53.25504756</v>
      </c>
      <c r="Q50" s="58" t="s">
        <v>566</v>
      </c>
      <c r="R50" s="22">
        <f>R30/(R48)</f>
        <v>12.666666666666666</v>
      </c>
      <c r="U50" s="113"/>
    </row>
    <row r="51" spans="2:21" ht="12.75">
      <c r="B51" s="114">
        <v>3</v>
      </c>
      <c r="C51" s="115" t="s">
        <v>615</v>
      </c>
      <c r="D51" s="72">
        <v>8</v>
      </c>
      <c r="E51" s="115">
        <f>D51*2*1.1</f>
        <v>17.6</v>
      </c>
      <c r="F51" s="117">
        <f>Retail_Prices!H19</f>
        <v>0.7808657999999999</v>
      </c>
      <c r="G51" s="118">
        <f>E51*F51</f>
        <v>13.74323808</v>
      </c>
      <c r="Q51" s="58" t="s">
        <v>568</v>
      </c>
      <c r="R51" s="22">
        <f>R48*R49</f>
        <v>144</v>
      </c>
      <c r="U51" s="113"/>
    </row>
    <row r="52" spans="2:21" ht="12.75">
      <c r="B52" s="114" t="s">
        <v>6</v>
      </c>
      <c r="C52" s="114"/>
      <c r="D52" s="114"/>
      <c r="E52" s="114"/>
      <c r="F52" s="114"/>
      <c r="G52" s="144">
        <f>SUM(G49:G51)</f>
        <v>348.10997363999996</v>
      </c>
      <c r="Q52" s="58"/>
      <c r="U52" s="113"/>
    </row>
    <row r="53" spans="2:21" ht="12.75">
      <c r="B53" s="98" t="s">
        <v>616</v>
      </c>
      <c r="C53" s="98"/>
      <c r="D53" s="98"/>
      <c r="E53" s="98"/>
      <c r="F53" s="98"/>
      <c r="G53" s="98"/>
      <c r="Q53" s="77"/>
      <c r="R53" s="18"/>
      <c r="S53" s="18"/>
      <c r="T53" s="18"/>
      <c r="U53" s="78"/>
    </row>
    <row r="54" spans="2:7" ht="12.75">
      <c r="B54" s="114" t="s">
        <v>606</v>
      </c>
      <c r="C54" s="115" t="s">
        <v>543</v>
      </c>
      <c r="D54" s="72" t="s">
        <v>613</v>
      </c>
      <c r="E54" s="115" t="s">
        <v>614</v>
      </c>
      <c r="F54" s="72" t="s">
        <v>583</v>
      </c>
      <c r="G54" s="116" t="s">
        <v>6</v>
      </c>
    </row>
    <row r="55" spans="2:7" ht="12.75">
      <c r="B55" s="114" t="s">
        <v>617</v>
      </c>
      <c r="C55" s="115" t="s">
        <v>618</v>
      </c>
      <c r="D55" s="72">
        <f>(36*2+96*2+16*2)*1.15</f>
        <v>340.4</v>
      </c>
      <c r="E55" s="115">
        <f>D55</f>
        <v>340.4</v>
      </c>
      <c r="F55" s="117">
        <f>Retail_Prices!H62</f>
        <v>2.1736</v>
      </c>
      <c r="G55" s="118">
        <f>E55*F55</f>
        <v>739.8934399999999</v>
      </c>
    </row>
    <row r="56" spans="2:7" ht="12.75">
      <c r="B56" s="114" t="s">
        <v>619</v>
      </c>
      <c r="C56" s="115" t="s">
        <v>618</v>
      </c>
      <c r="D56" s="72">
        <f>(72*3+32*3+16*4+36*2)*1.15</f>
        <v>515.1999999999999</v>
      </c>
      <c r="E56" s="115">
        <f>D56</f>
        <v>515.1999999999999</v>
      </c>
      <c r="F56" s="117">
        <f>Retail_Prices!H62</f>
        <v>2.1736</v>
      </c>
      <c r="G56" s="118">
        <f>E56*F56</f>
        <v>1119.8387199999997</v>
      </c>
    </row>
    <row r="57" spans="2:7" ht="12.75">
      <c r="B57" s="114" t="s">
        <v>620</v>
      </c>
      <c r="C57" s="115" t="s">
        <v>621</v>
      </c>
      <c r="D57" s="115">
        <f>(72+96+52+16+16+16)*1.15</f>
        <v>308.2</v>
      </c>
      <c r="E57" s="72">
        <f>D57</f>
        <v>308.2</v>
      </c>
      <c r="F57" s="117">
        <f>Retail_Prices!H19</f>
        <v>0.7808657999999999</v>
      </c>
      <c r="G57" s="118">
        <f>E57*F57</f>
        <v>240.66283955999998</v>
      </c>
    </row>
    <row r="58" spans="2:7" ht="12.75">
      <c r="B58" s="114" t="s">
        <v>620</v>
      </c>
      <c r="C58" s="115" t="s">
        <v>622</v>
      </c>
      <c r="D58" s="115">
        <f>(24+24+35+6)*1.15</f>
        <v>102.35</v>
      </c>
      <c r="E58" s="72">
        <f>D58</f>
        <v>102.35</v>
      </c>
      <c r="F58" s="117">
        <f>Retail_Prices!H23</f>
        <v>1.1558118</v>
      </c>
      <c r="G58" s="118">
        <f>E58*F58</f>
        <v>118.29733772999998</v>
      </c>
    </row>
    <row r="59" spans="2:20" ht="12.75">
      <c r="B59" s="114" t="s">
        <v>623</v>
      </c>
      <c r="C59" s="115" t="s">
        <v>615</v>
      </c>
      <c r="D59" s="115">
        <f>(72*4+32*4)*1.15</f>
        <v>478.4</v>
      </c>
      <c r="E59" s="72">
        <f>D59</f>
        <v>478.4</v>
      </c>
      <c r="F59" s="117">
        <f>Retail_Prices!H16</f>
        <v>4.140708</v>
      </c>
      <c r="G59" s="118">
        <f>E59*F59</f>
        <v>1980.9147071999998</v>
      </c>
      <c r="T59" s="22"/>
    </row>
    <row r="60" spans="2:20" ht="12.75">
      <c r="B60" s="145" t="s">
        <v>624</v>
      </c>
      <c r="C60" s="146" t="s">
        <v>618</v>
      </c>
      <c r="D60" s="146">
        <f>(93+32+32)*1.15</f>
        <v>180.54999999999998</v>
      </c>
      <c r="E60" s="147">
        <f>D60</f>
        <v>180.54999999999998</v>
      </c>
      <c r="F60" s="148">
        <f>Retail_Prices!H62</f>
        <v>2.1736</v>
      </c>
      <c r="G60" s="149">
        <f>E60*F60</f>
        <v>392.44347999999997</v>
      </c>
      <c r="T60" s="22"/>
    </row>
    <row r="61" spans="2:7" ht="12.75">
      <c r="B61" s="150" t="s">
        <v>6</v>
      </c>
      <c r="C61" s="150"/>
      <c r="D61" s="150"/>
      <c r="E61" s="150"/>
      <c r="F61" s="150"/>
      <c r="G61" s="151">
        <f>SUM(G54:G60)</f>
        <v>4592.05052449</v>
      </c>
    </row>
    <row r="62" spans="2:14" ht="12.75">
      <c r="B62" s="98" t="s">
        <v>625</v>
      </c>
      <c r="C62" s="98"/>
      <c r="D62" s="98"/>
      <c r="E62" s="98"/>
      <c r="F62" s="98"/>
      <c r="G62" s="98"/>
      <c r="L62" s="57"/>
      <c r="M62" s="57"/>
      <c r="N62" s="57"/>
    </row>
    <row r="63" spans="2:7" ht="12.75">
      <c r="B63" s="125" t="s">
        <v>606</v>
      </c>
      <c r="C63" s="126" t="s">
        <v>542</v>
      </c>
      <c r="D63" s="126" t="s">
        <v>613</v>
      </c>
      <c r="E63" s="126" t="s">
        <v>607</v>
      </c>
      <c r="F63" s="126" t="s">
        <v>626</v>
      </c>
      <c r="G63" s="152" t="s">
        <v>6</v>
      </c>
    </row>
    <row r="64" spans="2:7" ht="12.75">
      <c r="B64" s="114" t="s">
        <v>627</v>
      </c>
      <c r="C64" s="115" t="s">
        <v>628</v>
      </c>
      <c r="D64" s="72">
        <v>328</v>
      </c>
      <c r="E64" s="115">
        <f>(D64*12/18)*4*1.05</f>
        <v>918.4</v>
      </c>
      <c r="F64" s="117">
        <f>Retail_Prices!$H$2</f>
        <v>1.30416</v>
      </c>
      <c r="G64" s="118">
        <f>E64*F64</f>
        <v>1197.740544</v>
      </c>
    </row>
    <row r="65" spans="2:7" ht="12.75">
      <c r="B65" s="114" t="s">
        <v>629</v>
      </c>
      <c r="C65" s="115" t="s">
        <v>630</v>
      </c>
      <c r="D65" s="72"/>
      <c r="E65" s="115">
        <v>16.5</v>
      </c>
      <c r="F65" s="117">
        <f>Retail_Prices!$H$10</f>
        <v>114.114</v>
      </c>
      <c r="G65" s="118">
        <f>E65*F65</f>
        <v>1882.881</v>
      </c>
    </row>
    <row r="66" spans="2:12" ht="12.75">
      <c r="B66" s="114" t="s">
        <v>631</v>
      </c>
      <c r="C66" s="115" t="s">
        <v>632</v>
      </c>
      <c r="D66" s="72">
        <f>D64</f>
        <v>328</v>
      </c>
      <c r="E66" s="115">
        <f>D66*2*1*1.1</f>
        <v>721.6</v>
      </c>
      <c r="F66" s="117">
        <f>Retail_Prices!H13</f>
        <v>0.4140708</v>
      </c>
      <c r="G66" s="118">
        <f>E66*F66</f>
        <v>298.79348928</v>
      </c>
      <c r="I66" s="153"/>
      <c r="J66" s="153"/>
      <c r="K66" s="153"/>
      <c r="L66" s="154"/>
    </row>
    <row r="67" spans="2:12" ht="12.75">
      <c r="B67" s="114" t="s">
        <v>633</v>
      </c>
      <c r="C67" s="115" t="s">
        <v>632</v>
      </c>
      <c r="D67" s="72">
        <f>D64/4</f>
        <v>82</v>
      </c>
      <c r="E67" s="115">
        <f>D67*5*1.05</f>
        <v>430.5</v>
      </c>
      <c r="F67" s="117">
        <f>Retail_Prices!H13</f>
        <v>0.4140708</v>
      </c>
      <c r="G67" s="118">
        <f>E67*F67</f>
        <v>178.2574794</v>
      </c>
      <c r="I67" s="153"/>
      <c r="J67" s="153"/>
      <c r="K67" s="153"/>
      <c r="L67" s="154"/>
    </row>
    <row r="68" spans="2:12" ht="12.75">
      <c r="B68" s="155" t="s">
        <v>634</v>
      </c>
      <c r="C68" s="156" t="s">
        <v>635</v>
      </c>
      <c r="D68" s="156">
        <f>D64</f>
        <v>328</v>
      </c>
      <c r="E68" s="156">
        <f>D68*4*2*1.05</f>
        <v>2755.2000000000003</v>
      </c>
      <c r="F68" s="157">
        <f>Retail_Prices!$H$91</f>
        <v>0.45363032000000003</v>
      </c>
      <c r="G68" s="158">
        <f>E68*F68</f>
        <v>1249.8422576640003</v>
      </c>
      <c r="I68" s="153"/>
      <c r="J68" s="153"/>
      <c r="K68" s="153"/>
      <c r="L68" s="154"/>
    </row>
    <row r="69" spans="2:7" ht="12.75">
      <c r="B69" s="150" t="s">
        <v>6</v>
      </c>
      <c r="C69" s="150"/>
      <c r="D69" s="150"/>
      <c r="E69" s="150"/>
      <c r="F69" s="150"/>
      <c r="G69" s="151">
        <f>SUM(G64:G68)</f>
        <v>4807.514770344001</v>
      </c>
    </row>
    <row r="70" spans="2:7" ht="12.75">
      <c r="B70" s="98" t="s">
        <v>636</v>
      </c>
      <c r="C70" s="98"/>
      <c r="D70" s="98"/>
      <c r="E70" s="98"/>
      <c r="F70" s="98"/>
      <c r="G70" s="98"/>
    </row>
    <row r="71" spans="2:7" ht="12.75">
      <c r="B71" s="125" t="s">
        <v>606</v>
      </c>
      <c r="C71" s="126" t="s">
        <v>543</v>
      </c>
      <c r="D71" s="126" t="s">
        <v>637</v>
      </c>
      <c r="E71" s="126" t="s">
        <v>638</v>
      </c>
      <c r="F71" s="126" t="s">
        <v>639</v>
      </c>
      <c r="G71" s="152" t="s">
        <v>6</v>
      </c>
    </row>
    <row r="72" spans="2:7" ht="12.75">
      <c r="B72" s="114" t="s">
        <v>640</v>
      </c>
      <c r="C72" s="115">
        <f>35*24</f>
        <v>840</v>
      </c>
      <c r="D72" s="72">
        <f>5/12</f>
        <v>0.4166666666666667</v>
      </c>
      <c r="E72" s="115">
        <f>(C72*D72/3/3/3)*1.15</f>
        <v>14.907407407407407</v>
      </c>
      <c r="F72" s="117">
        <f>Retail_Prices!$H$10</f>
        <v>114.114</v>
      </c>
      <c r="G72" s="118">
        <f>E72*F72</f>
        <v>1701.1438888888888</v>
      </c>
    </row>
    <row r="73" spans="2:7" ht="12.75">
      <c r="B73" s="114" t="s">
        <v>641</v>
      </c>
      <c r="C73" s="115">
        <f>34*23</f>
        <v>782</v>
      </c>
      <c r="D73" s="72">
        <f>5/12</f>
        <v>0.4166666666666667</v>
      </c>
      <c r="E73" s="115">
        <f>(C73*D73/3/3/3)*1.15</f>
        <v>13.878086419753089</v>
      </c>
      <c r="F73" s="117">
        <f>Retail_Prices!$H$10</f>
        <v>114.114</v>
      </c>
      <c r="G73" s="118">
        <f>E73*F73</f>
        <v>1583.683953703704</v>
      </c>
    </row>
    <row r="74" spans="2:7" ht="12.75">
      <c r="B74" s="114" t="s">
        <v>642</v>
      </c>
      <c r="C74" s="115">
        <f>C72+C73</f>
        <v>1622</v>
      </c>
      <c r="D74" s="72">
        <f>4/12</f>
        <v>0.3333333333333333</v>
      </c>
      <c r="E74" s="115">
        <f>C74*D74</f>
        <v>540.6666666666666</v>
      </c>
      <c r="F74" s="117">
        <f>Retail_Prices!$H$11</f>
        <v>1.2932919999999999</v>
      </c>
      <c r="G74" s="118">
        <f>E74*F74</f>
        <v>699.2398746666665</v>
      </c>
    </row>
    <row r="75" spans="2:7" ht="12.75">
      <c r="B75" s="114" t="s">
        <v>643</v>
      </c>
      <c r="C75" s="159" t="s">
        <v>644</v>
      </c>
      <c r="D75" s="115"/>
      <c r="E75" s="115">
        <f>(35*(24/2)+24*(35/2))*1.1</f>
        <v>924.0000000000001</v>
      </c>
      <c r="F75" s="117">
        <f>Retail_Prices!$H$13</f>
        <v>0.4140708</v>
      </c>
      <c r="G75" s="118">
        <f>E75*F75</f>
        <v>382.60141920000007</v>
      </c>
    </row>
    <row r="76" spans="2:7" ht="12.75">
      <c r="B76" s="114" t="s">
        <v>645</v>
      </c>
      <c r="C76" s="159" t="s">
        <v>644</v>
      </c>
      <c r="D76" s="70"/>
      <c r="E76" s="70">
        <f>(34*(23/2)+23*(34/2))*1.1</f>
        <v>860.2</v>
      </c>
      <c r="F76" s="117">
        <f>Retail_Prices!$H$13</f>
        <v>0.4140708</v>
      </c>
      <c r="G76" s="118">
        <f>E76*F76</f>
        <v>356.18370216000005</v>
      </c>
    </row>
    <row r="77" spans="2:7" ht="12.75">
      <c r="B77" s="120" t="s">
        <v>6</v>
      </c>
      <c r="C77" s="120"/>
      <c r="D77" s="120"/>
      <c r="E77" s="120"/>
      <c r="F77" s="120"/>
      <c r="G77" s="121">
        <f>SUM(G72:G76)</f>
        <v>4722.852838619259</v>
      </c>
    </row>
    <row r="78" spans="2:7" ht="12.75">
      <c r="B78" s="98" t="s">
        <v>646</v>
      </c>
      <c r="C78" s="98"/>
      <c r="D78" s="98"/>
      <c r="E78" s="98"/>
      <c r="F78" s="98"/>
      <c r="G78" s="98"/>
    </row>
    <row r="79" spans="2:7" ht="12.75">
      <c r="B79" s="125" t="s">
        <v>606</v>
      </c>
      <c r="C79" s="126" t="s">
        <v>543</v>
      </c>
      <c r="D79" s="126" t="s">
        <v>637</v>
      </c>
      <c r="E79" s="126" t="s">
        <v>647</v>
      </c>
      <c r="F79" s="126" t="s">
        <v>583</v>
      </c>
      <c r="G79" s="152" t="s">
        <v>6</v>
      </c>
    </row>
    <row r="80" spans="2:7" ht="12.75">
      <c r="B80" s="114" t="s">
        <v>648</v>
      </c>
      <c r="C80" s="115">
        <f>28*7</f>
        <v>196</v>
      </c>
      <c r="D80" s="72"/>
      <c r="E80" s="115"/>
      <c r="F80" s="117"/>
      <c r="G80" s="118">
        <f>80*Retail_Prices!H23+2*196*Retail_Prices!H40*1.15+250</f>
        <v>1260.4702322</v>
      </c>
    </row>
    <row r="81" spans="2:7" ht="12.75">
      <c r="B81" s="114" t="s">
        <v>649</v>
      </c>
      <c r="C81" s="115">
        <f>96*7+32*16</f>
        <v>1184</v>
      </c>
      <c r="D81" s="72">
        <f>4/12</f>
        <v>0.3333333333333333</v>
      </c>
      <c r="E81" s="115">
        <f>(C81*D81/3/3/3)*1.15</f>
        <v>16.809876543209874</v>
      </c>
      <c r="F81" s="117">
        <f>Retail_Prices!$H$10</f>
        <v>114.114</v>
      </c>
      <c r="G81" s="118">
        <f>E81*F81</f>
        <v>1918.2422518518517</v>
      </c>
    </row>
    <row r="82" spans="2:7" ht="12.75">
      <c r="B82" s="114" t="s">
        <v>642</v>
      </c>
      <c r="C82" s="115">
        <f>C80+C81</f>
        <v>1380</v>
      </c>
      <c r="D82" s="72">
        <f>4/12</f>
        <v>0.3333333333333333</v>
      </c>
      <c r="E82" s="115">
        <f>C82*D82</f>
        <v>460</v>
      </c>
      <c r="F82" s="117">
        <f>Retail_Prices!$H$11</f>
        <v>1.2932919999999999</v>
      </c>
      <c r="G82" s="118">
        <f>E82*F82</f>
        <v>594.91432</v>
      </c>
    </row>
    <row r="83" spans="2:7" ht="12.75">
      <c r="B83" s="114" t="s">
        <v>650</v>
      </c>
      <c r="C83" s="159" t="s">
        <v>644</v>
      </c>
      <c r="D83" s="115"/>
      <c r="E83" s="115">
        <f>(7*(28/2)+28*(7/2))*1.1</f>
        <v>215.60000000000002</v>
      </c>
      <c r="F83" s="117">
        <f>Retail_Prices!$H$13</f>
        <v>0.4140708</v>
      </c>
      <c r="G83" s="118">
        <f>E83*F83</f>
        <v>89.27366448000001</v>
      </c>
    </row>
    <row r="84" spans="2:7" ht="12.75">
      <c r="B84" s="114" t="s">
        <v>651</v>
      </c>
      <c r="C84" s="159" t="s">
        <v>644</v>
      </c>
      <c r="D84" s="70"/>
      <c r="E84" s="115">
        <f>(7*(96/2)+96*(7/2))*1.1+(16*(32/2)+96*(32/2))*1.1</f>
        <v>2710.4000000000005</v>
      </c>
      <c r="F84" s="117">
        <f>Retail_Prices!$H$13</f>
        <v>0.4140708</v>
      </c>
      <c r="G84" s="118">
        <f>E84*F84</f>
        <v>1122.2974963200002</v>
      </c>
    </row>
    <row r="85" spans="2:8" ht="12.75">
      <c r="B85" s="120" t="s">
        <v>6</v>
      </c>
      <c r="C85" s="120"/>
      <c r="D85" s="120"/>
      <c r="E85" s="120"/>
      <c r="F85" s="120"/>
      <c r="G85" s="121">
        <f>SUM(G80:G84)</f>
        <v>4985.197964851853</v>
      </c>
      <c r="H85" s="12">
        <f>G85-1300</f>
        <v>3685.1979648518527</v>
      </c>
    </row>
    <row r="86" spans="2:7" ht="12.75">
      <c r="B86" s="52" t="s">
        <v>652</v>
      </c>
      <c r="C86" s="52"/>
      <c r="D86" s="52"/>
      <c r="E86" s="52"/>
      <c r="F86" s="52"/>
      <c r="G86" s="52"/>
    </row>
    <row r="87" spans="2:9" ht="12.75">
      <c r="B87" s="114" t="s">
        <v>581</v>
      </c>
      <c r="C87" s="115" t="s">
        <v>653</v>
      </c>
      <c r="D87" s="72" t="s">
        <v>98</v>
      </c>
      <c r="E87" s="115" t="s">
        <v>654</v>
      </c>
      <c r="F87" s="72" t="s">
        <v>655</v>
      </c>
      <c r="G87" s="116" t="s">
        <v>6</v>
      </c>
      <c r="I87" s="28" t="s">
        <v>656</v>
      </c>
    </row>
    <row r="88" spans="2:10" ht="12.75">
      <c r="B88" s="155" t="s">
        <v>657</v>
      </c>
      <c r="C88" s="160">
        <f>2*1</f>
        <v>2</v>
      </c>
      <c r="D88" s="161">
        <v>328</v>
      </c>
      <c r="E88" s="160">
        <f>((C88*D88)/3/3/3)*1.15</f>
        <v>27.940740740740736</v>
      </c>
      <c r="F88" s="162">
        <f>Retail_Prices!$H$10</f>
        <v>114.114</v>
      </c>
      <c r="G88" s="158">
        <f>E88*F88</f>
        <v>3188.4296888888884</v>
      </c>
      <c r="I88" t="s">
        <v>658</v>
      </c>
      <c r="J88" s="22">
        <f>370*2</f>
        <v>740</v>
      </c>
    </row>
    <row r="89" spans="2:10" ht="12.75">
      <c r="B89" s="163" t="s">
        <v>659</v>
      </c>
      <c r="C89" s="160">
        <f>1*2</f>
        <v>2</v>
      </c>
      <c r="D89" s="160">
        <f>36+24</f>
        <v>60</v>
      </c>
      <c r="E89" s="160">
        <f>(C89*D89/3/3/3)*1.15</f>
        <v>5.111111111111111</v>
      </c>
      <c r="F89" s="162">
        <f>Retail_Prices!$H$10</f>
        <v>114.114</v>
      </c>
      <c r="G89" s="158">
        <f>E89*F89</f>
        <v>583.2493333333333</v>
      </c>
      <c r="I89" t="s">
        <v>660</v>
      </c>
      <c r="J89" s="22">
        <f>(36+72+32+6)*2*1.12</f>
        <v>327.04</v>
      </c>
    </row>
    <row r="90" spans="2:10" ht="12.75">
      <c r="B90" s="155" t="s">
        <v>661</v>
      </c>
      <c r="C90" s="160"/>
      <c r="D90" s="160">
        <f>4/12</f>
        <v>0.3333333333333333</v>
      </c>
      <c r="E90" s="160">
        <f>(E88+E89)*C88*1.15</f>
        <v>76.01925925925924</v>
      </c>
      <c r="F90" s="117">
        <f>Retail_Prices!$H$11</f>
        <v>1.2932919999999999</v>
      </c>
      <c r="G90" s="158">
        <f>E90*F90</f>
        <v>98.3150998459259</v>
      </c>
      <c r="I90" t="s">
        <v>662</v>
      </c>
      <c r="J90">
        <v>740</v>
      </c>
    </row>
    <row r="91" spans="2:10" ht="12.75">
      <c r="B91" s="155" t="s">
        <v>663</v>
      </c>
      <c r="C91" s="159" t="s">
        <v>664</v>
      </c>
      <c r="D91" s="160"/>
      <c r="E91" s="160">
        <f>328*2*1.1+328*3/4</f>
        <v>967.6</v>
      </c>
      <c r="F91" s="162">
        <f>Retail_Prices!$H$13</f>
        <v>0.4140708</v>
      </c>
      <c r="G91" s="158">
        <f>E91*F91</f>
        <v>400.65490608000005</v>
      </c>
      <c r="I91" t="s">
        <v>633</v>
      </c>
      <c r="J91" s="22">
        <f>(328/4)*9</f>
        <v>738</v>
      </c>
    </row>
    <row r="92" spans="2:10" ht="12.75">
      <c r="B92" s="114" t="s">
        <v>665</v>
      </c>
      <c r="C92" s="159" t="s">
        <v>664</v>
      </c>
      <c r="D92" s="70"/>
      <c r="E92" s="70">
        <f>60*2*1.1+60*3/4</f>
        <v>177</v>
      </c>
      <c r="F92" s="162">
        <f>Retail_Prices!$H$13</f>
        <v>0.4140708</v>
      </c>
      <c r="G92" s="158">
        <f>E92*F92</f>
        <v>73.29053160000001</v>
      </c>
      <c r="I92" t="s">
        <v>666</v>
      </c>
      <c r="J92" s="22">
        <f>(328/4)*2</f>
        <v>164</v>
      </c>
    </row>
    <row r="93" spans="2:7" ht="12.75">
      <c r="B93" s="120" t="s">
        <v>6</v>
      </c>
      <c r="C93" s="120"/>
      <c r="D93" s="120"/>
      <c r="E93" s="120"/>
      <c r="F93" s="120"/>
      <c r="G93" s="121">
        <f>SUM(G88:G92)</f>
        <v>4343.939559748148</v>
      </c>
    </row>
    <row r="94" spans="2:10" ht="12.75">
      <c r="B94" s="98" t="s">
        <v>667</v>
      </c>
      <c r="C94" s="98"/>
      <c r="D94" s="98"/>
      <c r="E94" s="98"/>
      <c r="F94" s="98"/>
      <c r="G94" s="98"/>
      <c r="I94" t="s">
        <v>668</v>
      </c>
      <c r="J94" s="22">
        <f>SUM(J88:J93)</f>
        <v>2709.04</v>
      </c>
    </row>
    <row r="95" spans="2:10" ht="12.75">
      <c r="B95" s="125" t="s">
        <v>606</v>
      </c>
      <c r="C95" s="126" t="s">
        <v>242</v>
      </c>
      <c r="D95" s="126" t="s">
        <v>242</v>
      </c>
      <c r="E95" s="126" t="s">
        <v>607</v>
      </c>
      <c r="F95" s="126" t="s">
        <v>626</v>
      </c>
      <c r="G95" s="152" t="s">
        <v>6</v>
      </c>
      <c r="J95" s="22">
        <f>J94/20</f>
        <v>135.452</v>
      </c>
    </row>
    <row r="96" spans="2:7" ht="12.75">
      <c r="B96" s="155" t="s">
        <v>669</v>
      </c>
      <c r="C96" s="160" t="s">
        <v>669</v>
      </c>
      <c r="D96" s="161">
        <f>(96+96+52+52+16+16+24)/4</f>
        <v>88</v>
      </c>
      <c r="E96" s="161">
        <v>2</v>
      </c>
      <c r="F96" s="162">
        <f>Retail_Prices!$G$14</f>
        <v>86.922264</v>
      </c>
      <c r="G96" s="158">
        <f>E96*F96</f>
        <v>173.844528</v>
      </c>
    </row>
    <row r="97" spans="2:10" ht="12.75">
      <c r="B97" s="155" t="s">
        <v>605</v>
      </c>
      <c r="C97" s="161" t="s">
        <v>670</v>
      </c>
      <c r="D97" s="161">
        <f>$E$20+$E$21+$E$22+$E$24</f>
        <v>99</v>
      </c>
      <c r="E97" s="161">
        <f>D97*8</f>
        <v>792</v>
      </c>
      <c r="F97" s="162">
        <f>Retail_Prices!$H$89</f>
        <v>0.013837681</v>
      </c>
      <c r="G97" s="158">
        <f>E97*F97</f>
        <v>10.959443352</v>
      </c>
      <c r="J97" s="22">
        <f>1123.15/150</f>
        <v>7.487666666666668</v>
      </c>
    </row>
    <row r="98" spans="2:10" ht="12.75">
      <c r="B98" s="155" t="s">
        <v>617</v>
      </c>
      <c r="C98" s="161" t="s">
        <v>670</v>
      </c>
      <c r="D98" s="161">
        <f>$E$52</f>
        <v>0</v>
      </c>
      <c r="E98" s="161">
        <f>(D98/1.33)*4</f>
        <v>0</v>
      </c>
      <c r="F98" s="162">
        <f>Retail_Prices!$H$89</f>
        <v>0.013837681</v>
      </c>
      <c r="G98" s="158">
        <f>E98*F98</f>
        <v>0</v>
      </c>
      <c r="J98" t="s">
        <v>671</v>
      </c>
    </row>
    <row r="99" spans="2:7" ht="12.75">
      <c r="B99" s="155" t="s">
        <v>619</v>
      </c>
      <c r="C99" s="161" t="s">
        <v>670</v>
      </c>
      <c r="D99" s="161">
        <f>$E$52</f>
        <v>0</v>
      </c>
      <c r="E99" s="161">
        <f>D99*4</f>
        <v>0</v>
      </c>
      <c r="F99" s="162">
        <f>Retail_Prices!$H$89</f>
        <v>0.013837681</v>
      </c>
      <c r="G99" s="158">
        <f>E99*F99</f>
        <v>0</v>
      </c>
    </row>
    <row r="100" spans="2:7" ht="12.75">
      <c r="B100" s="155" t="s">
        <v>672</v>
      </c>
      <c r="C100" s="160" t="s">
        <v>672</v>
      </c>
      <c r="D100" s="161" t="s">
        <v>242</v>
      </c>
      <c r="E100" s="161">
        <f>$D$20*$E$20+$D$21*$E$21+$D$22*$E$22</f>
        <v>2630.1935000000003</v>
      </c>
      <c r="F100" s="162">
        <f>Retail_Prices!$H$88</f>
        <v>0.055362870588235295</v>
      </c>
      <c r="G100" s="158">
        <f>E100*F100</f>
        <v>145.61506236251768</v>
      </c>
    </row>
    <row r="101" spans="2:7" ht="12.75">
      <c r="B101" s="155" t="s">
        <v>673</v>
      </c>
      <c r="C101" s="160" t="s">
        <v>674</v>
      </c>
      <c r="D101" s="160">
        <f>9*9+4*4+4*4</f>
        <v>113</v>
      </c>
      <c r="E101" s="160">
        <f>D101*32+(96*2+52*2+16*2)</f>
        <v>3944</v>
      </c>
      <c r="F101" s="157">
        <f>Retail_Prices!$H$89</f>
        <v>0.013837681</v>
      </c>
      <c r="G101" s="158">
        <f>E101*F101</f>
        <v>54.575813864</v>
      </c>
    </row>
    <row r="102" spans="2:7" ht="12.75">
      <c r="B102" s="155" t="s">
        <v>673</v>
      </c>
      <c r="C102" s="160" t="s">
        <v>674</v>
      </c>
      <c r="D102" s="160">
        <f>9*9+4*4+4*4</f>
        <v>113</v>
      </c>
      <c r="E102" s="160">
        <f>D102*32+(96*2+52*2+16*2)</f>
        <v>3944</v>
      </c>
      <c r="F102" s="157">
        <f>Retail_Prices!$H$89</f>
        <v>0.013837681</v>
      </c>
      <c r="G102" s="158">
        <f>E102*F102</f>
        <v>54.575813864</v>
      </c>
    </row>
    <row r="103" spans="2:7" ht="12.75">
      <c r="B103" s="155" t="s">
        <v>675</v>
      </c>
      <c r="C103" s="160" t="s">
        <v>676</v>
      </c>
      <c r="D103" s="160"/>
      <c r="E103" s="160"/>
      <c r="F103" s="157"/>
      <c r="G103" s="158"/>
    </row>
    <row r="104" spans="2:7" ht="12.75">
      <c r="B104" s="120" t="s">
        <v>6</v>
      </c>
      <c r="C104" s="120"/>
      <c r="D104" s="120"/>
      <c r="E104" s="120"/>
      <c r="F104" s="120"/>
      <c r="G104" s="121">
        <f>SUM(G96:G103)</f>
        <v>439.5706614425177</v>
      </c>
    </row>
    <row r="105" spans="2:7" ht="12.75">
      <c r="B105" s="52" t="s">
        <v>677</v>
      </c>
      <c r="C105" s="52"/>
      <c r="D105" s="52"/>
      <c r="E105" s="52"/>
      <c r="F105" s="52"/>
      <c r="G105" s="52"/>
    </row>
    <row r="106" spans="2:7" ht="12.75">
      <c r="B106" s="114" t="s">
        <v>606</v>
      </c>
      <c r="C106" s="115" t="s">
        <v>542</v>
      </c>
      <c r="D106" s="72" t="s">
        <v>613</v>
      </c>
      <c r="E106" s="115" t="s">
        <v>544</v>
      </c>
      <c r="F106" s="72" t="s">
        <v>639</v>
      </c>
      <c r="G106" s="116" t="s">
        <v>6</v>
      </c>
    </row>
    <row r="107" spans="2:7" ht="12.75">
      <c r="B107" s="42"/>
      <c r="G107" s="113"/>
    </row>
    <row r="108" spans="2:7" ht="12.75">
      <c r="B108" s="155" t="s">
        <v>678</v>
      </c>
      <c r="C108" s="160" t="s">
        <v>679</v>
      </c>
      <c r="D108" s="160"/>
      <c r="E108" s="160">
        <f>72*36+32*16+32*16+Insulation_Calcs!E5</f>
        <v>4928</v>
      </c>
      <c r="F108" s="162">
        <f>Retail_Prices!H108</f>
        <v>0.517066</v>
      </c>
      <c r="G108" s="158">
        <f>E108*F108</f>
        <v>2548.101248</v>
      </c>
    </row>
    <row r="109" spans="2:7" ht="12.75">
      <c r="B109" s="155" t="s">
        <v>680</v>
      </c>
      <c r="C109" s="160" t="s">
        <v>680</v>
      </c>
      <c r="D109" s="160">
        <f>E108/500</f>
        <v>9.856</v>
      </c>
      <c r="E109" s="160">
        <v>10</v>
      </c>
      <c r="F109" s="162">
        <f>Retail_Prices!G109</f>
        <v>35.853532</v>
      </c>
      <c r="G109" s="158">
        <f>E109*F109</f>
        <v>358.53532</v>
      </c>
    </row>
    <row r="110" spans="2:7" ht="12.75">
      <c r="B110" s="164" t="s">
        <v>681</v>
      </c>
      <c r="C110" s="165" t="s">
        <v>682</v>
      </c>
      <c r="D110" s="166"/>
      <c r="E110" s="166">
        <v>1</v>
      </c>
      <c r="F110" s="167">
        <f>Retail_Prices!H111</f>
        <v>129.32920000000001</v>
      </c>
      <c r="G110" s="168">
        <f>E110*F110</f>
        <v>129.32920000000001</v>
      </c>
    </row>
    <row r="111" spans="2:7" ht="12.75">
      <c r="B111" s="120" t="s">
        <v>6</v>
      </c>
      <c r="C111" s="120"/>
      <c r="D111" s="120"/>
      <c r="E111" s="120"/>
      <c r="F111" s="120"/>
      <c r="G111" s="121">
        <f>SUM(G107:G110)</f>
        <v>3035.965768</v>
      </c>
    </row>
    <row r="112" spans="2:7" ht="12.75">
      <c r="B112" s="115"/>
      <c r="C112" s="159"/>
      <c r="D112" s="159"/>
      <c r="E112" s="159"/>
      <c r="F112" s="159"/>
      <c r="G112" s="115"/>
    </row>
    <row r="113" spans="2:7" ht="12.75">
      <c r="B113" s="52" t="s">
        <v>161</v>
      </c>
      <c r="C113" s="52"/>
      <c r="D113" s="52"/>
      <c r="E113" s="52"/>
      <c r="F113" s="52"/>
      <c r="G113" s="52"/>
    </row>
    <row r="114" spans="2:8" ht="12.75">
      <c r="B114" s="145" t="s">
        <v>606</v>
      </c>
      <c r="C114" s="146" t="s">
        <v>542</v>
      </c>
      <c r="D114" s="147" t="s">
        <v>613</v>
      </c>
      <c r="E114" s="146" t="s">
        <v>544</v>
      </c>
      <c r="F114" s="147" t="s">
        <v>639</v>
      </c>
      <c r="G114" s="169" t="s">
        <v>6</v>
      </c>
      <c r="H114" s="170"/>
    </row>
    <row r="115" spans="2:8" ht="12.75">
      <c r="B115" s="82" t="s">
        <v>161</v>
      </c>
      <c r="C115" s="170"/>
      <c r="D115" s="170"/>
      <c r="E115" s="170"/>
      <c r="F115" s="170"/>
      <c r="G115" s="84">
        <v>1100</v>
      </c>
      <c r="H115" s="170"/>
    </row>
    <row r="116" spans="2:8" ht="12.75">
      <c r="B116" s="171"/>
      <c r="C116" s="172"/>
      <c r="D116" s="172"/>
      <c r="E116" s="172"/>
      <c r="F116" s="173"/>
      <c r="G116" s="84"/>
      <c r="H116" s="170"/>
    </row>
    <row r="117" spans="2:8" ht="12.75">
      <c r="B117" s="171"/>
      <c r="C117" s="172"/>
      <c r="D117" s="172"/>
      <c r="E117" s="172"/>
      <c r="F117" s="173"/>
      <c r="G117" s="174"/>
      <c r="H117" s="170"/>
    </row>
    <row r="118" spans="2:7" ht="12.75">
      <c r="B118" s="164"/>
      <c r="C118" s="165"/>
      <c r="D118" s="166"/>
      <c r="E118" s="166"/>
      <c r="F118" s="167"/>
      <c r="G118" s="168"/>
    </row>
    <row r="119" spans="2:7" ht="12.75">
      <c r="B119" s="120" t="s">
        <v>6</v>
      </c>
      <c r="C119" s="120"/>
      <c r="D119" s="120"/>
      <c r="E119" s="120"/>
      <c r="F119" s="120"/>
      <c r="G119" s="121">
        <f>SUM(G115:G118)</f>
        <v>1100</v>
      </c>
    </row>
    <row r="120" spans="2:7" ht="12.75">
      <c r="B120" s="115"/>
      <c r="C120" s="159"/>
      <c r="D120" s="159"/>
      <c r="E120" s="159"/>
      <c r="F120" s="159"/>
      <c r="G120" s="115"/>
    </row>
    <row r="121" spans="2:7" ht="12.75">
      <c r="B121" s="175" t="s">
        <v>6</v>
      </c>
      <c r="C121" s="176"/>
      <c r="D121" s="176"/>
      <c r="E121" s="176"/>
      <c r="F121" s="176"/>
      <c r="G121" s="177">
        <f>G9+G17+G23+G32+G38+G46+G52+G61+G69+G77+G85+G93+G104+G111+G119</f>
        <v>49728.53753055411</v>
      </c>
    </row>
  </sheetData>
  <sheetProtection selectLockedCells="1" selectUnlockedCells="1"/>
  <mergeCells count="37">
    <mergeCell ref="Q2:Y2"/>
    <mergeCell ref="B3:G3"/>
    <mergeCell ref="Q3:U3"/>
    <mergeCell ref="W3:Y3"/>
    <mergeCell ref="B4:G4"/>
    <mergeCell ref="B9:F9"/>
    <mergeCell ref="B10:G10"/>
    <mergeCell ref="Q16:U16"/>
    <mergeCell ref="W16:Y16"/>
    <mergeCell ref="B17:F17"/>
    <mergeCell ref="B18:G18"/>
    <mergeCell ref="B23:F23"/>
    <mergeCell ref="B24:G24"/>
    <mergeCell ref="Q29:U29"/>
    <mergeCell ref="B32:F32"/>
    <mergeCell ref="B33:G33"/>
    <mergeCell ref="B38:F38"/>
    <mergeCell ref="B39:G39"/>
    <mergeCell ref="B46:F46"/>
    <mergeCell ref="B47:G47"/>
    <mergeCell ref="B52:F52"/>
    <mergeCell ref="B53:G53"/>
    <mergeCell ref="B61:F61"/>
    <mergeCell ref="B62:G62"/>
    <mergeCell ref="B69:F69"/>
    <mergeCell ref="B70:G70"/>
    <mergeCell ref="B77:F77"/>
    <mergeCell ref="B78:G78"/>
    <mergeCell ref="B85:F85"/>
    <mergeCell ref="B86:G86"/>
    <mergeCell ref="B93:F93"/>
    <mergeCell ref="B94:G94"/>
    <mergeCell ref="B104:F104"/>
    <mergeCell ref="B105:G105"/>
    <mergeCell ref="B111:F111"/>
    <mergeCell ref="B113:G113"/>
    <mergeCell ref="B119:F119"/>
  </mergeCells>
  <hyperlinks>
    <hyperlink ref="W17" r:id="rId1" display="www.menards.co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3:AK207"/>
  <sheetViews>
    <sheetView zoomScale="90" zoomScaleNormal="90" workbookViewId="0" topLeftCell="A37">
      <selection activeCell="B13" sqref="B13"/>
    </sheetView>
  </sheetViews>
  <sheetFormatPr defaultColWidth="12.57421875" defaultRowHeight="12.75"/>
  <cols>
    <col min="1" max="1" width="11.57421875" style="0" customWidth="1"/>
    <col min="2" max="2" width="19.8515625" style="0" customWidth="1"/>
    <col min="3" max="3" width="14.8515625" style="0" customWidth="1"/>
    <col min="4" max="4" width="16.421875" style="0" customWidth="1"/>
    <col min="5" max="5" width="18.140625" style="0" customWidth="1"/>
    <col min="6" max="6" width="19.28125" style="0" customWidth="1"/>
    <col min="7" max="7" width="16.28125" style="0" customWidth="1"/>
    <col min="8" max="8" width="17.57421875" style="0" customWidth="1"/>
    <col min="9" max="9" width="21.140625" style="0" customWidth="1"/>
    <col min="10" max="10" width="26.421875" style="0" customWidth="1"/>
    <col min="11" max="14" width="11.57421875" style="0" customWidth="1"/>
    <col min="15" max="15" width="15.8515625" style="0" customWidth="1"/>
    <col min="16" max="17" width="11.57421875" style="0" customWidth="1"/>
    <col min="18" max="18" width="9.140625" style="0" customWidth="1"/>
    <col min="19" max="20" width="11.57421875" style="0" customWidth="1"/>
    <col min="21" max="21" width="3.57421875" style="0" customWidth="1"/>
    <col min="22" max="16384" width="11.57421875" style="0" customWidth="1"/>
  </cols>
  <sheetData>
    <row r="3" spans="2:15" ht="12.75" customHeight="1">
      <c r="B3" s="110" t="s">
        <v>683</v>
      </c>
      <c r="C3" s="110"/>
      <c r="D3" s="110"/>
      <c r="E3" s="110"/>
      <c r="F3" s="110"/>
      <c r="G3" s="110"/>
      <c r="H3" s="110"/>
      <c r="J3" s="111" t="s">
        <v>533</v>
      </c>
      <c r="K3" s="112" t="s">
        <v>534</v>
      </c>
      <c r="L3" s="109"/>
      <c r="M3" s="109"/>
      <c r="N3" s="109"/>
      <c r="O3" s="109"/>
    </row>
    <row r="4" spans="2:30" ht="12.75" customHeight="1">
      <c r="B4" s="98" t="s">
        <v>684</v>
      </c>
      <c r="C4" s="98"/>
      <c r="D4" s="98"/>
      <c r="E4" s="98"/>
      <c r="F4" s="98"/>
      <c r="G4" s="98"/>
      <c r="H4" s="98"/>
      <c r="J4" s="42" t="str">
        <f>B4</f>
        <v>Exterior Wall Framing</v>
      </c>
      <c r="K4" s="118">
        <f>H19</f>
        <v>5487.429051847601</v>
      </c>
      <c r="L4" s="115"/>
      <c r="M4" s="115"/>
      <c r="N4" s="115"/>
      <c r="O4" s="115"/>
      <c r="R4" s="178"/>
      <c r="S4" s="178"/>
      <c r="T4" s="178"/>
      <c r="U4" s="178"/>
      <c r="V4" s="178"/>
      <c r="X4" s="178"/>
      <c r="Y4" s="178"/>
      <c r="Z4" s="178"/>
      <c r="AB4" s="178"/>
      <c r="AC4" s="178"/>
      <c r="AD4" s="178"/>
    </row>
    <row r="5" spans="2:30" ht="12.75">
      <c r="B5" s="114" t="s">
        <v>542</v>
      </c>
      <c r="C5" s="114"/>
      <c r="D5" s="115" t="s">
        <v>685</v>
      </c>
      <c r="E5" s="72" t="s">
        <v>686</v>
      </c>
      <c r="F5" s="115" t="s">
        <v>687</v>
      </c>
      <c r="G5" s="72" t="s">
        <v>688</v>
      </c>
      <c r="H5" s="116" t="s">
        <v>6</v>
      </c>
      <c r="J5" s="42" t="str">
        <f>B21</f>
        <v>Exterior Wall Sheathing</v>
      </c>
      <c r="K5" s="118">
        <f>H28</f>
        <v>4026.7879937999996</v>
      </c>
      <c r="L5" s="72"/>
      <c r="M5" s="115"/>
      <c r="N5" s="72"/>
      <c r="O5" s="115"/>
      <c r="R5" s="97"/>
      <c r="V5" s="57"/>
      <c r="X5" s="97"/>
      <c r="AB5" s="179"/>
      <c r="AC5" s="22"/>
      <c r="AD5" s="57"/>
    </row>
    <row r="6" spans="2:30" ht="12.75">
      <c r="B6" s="114" t="s">
        <v>689</v>
      </c>
      <c r="C6" s="114"/>
      <c r="D6" s="115">
        <f>96+52+32+16+32+16+32+52+36+36</f>
        <v>400</v>
      </c>
      <c r="E6" s="72">
        <v>8</v>
      </c>
      <c r="F6" s="115">
        <f>(D6*2/2)*1.05</f>
        <v>420</v>
      </c>
      <c r="G6" s="117">
        <f>Retail_Prices!$G$16</f>
        <v>4.140708</v>
      </c>
      <c r="H6" s="118">
        <f>G6*F6</f>
        <v>1739.09736</v>
      </c>
      <c r="J6" s="42" t="str">
        <f>B29</f>
        <v>Interior Wall Framing</v>
      </c>
      <c r="K6" s="118">
        <f>H42</f>
        <v>2840.6209356954005</v>
      </c>
      <c r="L6" s="72"/>
      <c r="M6" s="115"/>
      <c r="N6" s="72"/>
      <c r="O6" s="115"/>
      <c r="R6" s="97"/>
      <c r="S6" s="22"/>
      <c r="V6" s="57"/>
      <c r="X6" s="97"/>
      <c r="Z6" s="57"/>
      <c r="AB6" s="97"/>
      <c r="AC6" s="22"/>
      <c r="AD6" s="57"/>
    </row>
    <row r="7" spans="2:30" ht="12.75">
      <c r="B7" s="114" t="s">
        <v>690</v>
      </c>
      <c r="C7" s="114"/>
      <c r="D7" s="115">
        <f>D6</f>
        <v>400</v>
      </c>
      <c r="E7" s="72">
        <v>8</v>
      </c>
      <c r="F7" s="115">
        <f>(D7*2*2/8)*1.05</f>
        <v>210</v>
      </c>
      <c r="G7" s="117">
        <f>Retail_Prices!$G$16</f>
        <v>4.140708</v>
      </c>
      <c r="H7" s="118">
        <f>G7*F7</f>
        <v>869.54868</v>
      </c>
      <c r="J7" s="42" t="str">
        <f>B43</f>
        <v>Posts</v>
      </c>
      <c r="K7" s="180">
        <f>H57</f>
        <v>3120.3332159999995</v>
      </c>
      <c r="L7" s="72"/>
      <c r="M7" s="115"/>
      <c r="N7" s="72"/>
      <c r="O7" s="115"/>
      <c r="R7" s="97"/>
      <c r="S7" s="22"/>
      <c r="V7" s="57"/>
      <c r="X7" s="97"/>
      <c r="Z7" s="57"/>
      <c r="AB7" s="97"/>
      <c r="AD7" s="57"/>
    </row>
    <row r="8" spans="2:30" ht="12.75">
      <c r="B8" s="114" t="s">
        <v>691</v>
      </c>
      <c r="C8" s="114"/>
      <c r="D8" s="115">
        <v>18</v>
      </c>
      <c r="E8" s="115">
        <v>8</v>
      </c>
      <c r="F8" s="115">
        <f>(D8*4)</f>
        <v>72</v>
      </c>
      <c r="G8" s="117">
        <f>Retail_Prices!$G$16</f>
        <v>4.140708</v>
      </c>
      <c r="H8" s="118">
        <f>G8*F8</f>
        <v>298.13097600000003</v>
      </c>
      <c r="J8" s="42" t="str">
        <f>B58</f>
        <v>Beams</v>
      </c>
      <c r="K8" s="118">
        <f>H65</f>
        <v>958.5576000000001</v>
      </c>
      <c r="L8" s="72"/>
      <c r="M8" s="115"/>
      <c r="N8" s="72"/>
      <c r="O8" s="115"/>
      <c r="R8" s="97"/>
      <c r="V8" s="57"/>
      <c r="X8" s="97"/>
      <c r="Z8" s="57"/>
      <c r="AB8" s="97"/>
      <c r="AD8" s="57"/>
    </row>
    <row r="9" spans="2:30" ht="12.75">
      <c r="B9" s="114" t="s">
        <v>692</v>
      </c>
      <c r="C9" s="114"/>
      <c r="D9" s="115">
        <v>18</v>
      </c>
      <c r="E9" s="115">
        <v>8</v>
      </c>
      <c r="F9" s="115">
        <f>(D9*4)</f>
        <v>72</v>
      </c>
      <c r="G9" s="117">
        <f>Retail_Prices!$G$16</f>
        <v>4.140708</v>
      </c>
      <c r="H9" s="118">
        <f>G9*F9</f>
        <v>298.13097600000003</v>
      </c>
      <c r="J9" s="42" t="str">
        <f>B68</f>
        <v>Roof and Porch Joists</v>
      </c>
      <c r="K9" s="118">
        <f>H87</f>
        <v>16259.863913633333</v>
      </c>
      <c r="L9" s="115"/>
      <c r="M9" s="115"/>
      <c r="N9" s="72"/>
      <c r="O9" s="115"/>
      <c r="R9" s="97"/>
      <c r="S9" s="22"/>
      <c r="V9" s="57"/>
      <c r="X9" s="60"/>
      <c r="Y9" s="28"/>
      <c r="Z9" s="60"/>
      <c r="AB9" s="60"/>
      <c r="AC9" s="28"/>
      <c r="AD9" s="60"/>
    </row>
    <row r="10" spans="2:30" ht="12.75">
      <c r="B10" s="114" t="s">
        <v>693</v>
      </c>
      <c r="C10" s="114"/>
      <c r="D10" s="115">
        <v>15</v>
      </c>
      <c r="E10" s="72">
        <v>8</v>
      </c>
      <c r="F10" s="115">
        <f>(D10)*E10*1.1</f>
        <v>132</v>
      </c>
      <c r="G10" s="117">
        <f>Retail_Prices!$H32*8</f>
        <v>11.737440000000001</v>
      </c>
      <c r="H10" s="118">
        <f>G10*F10</f>
        <v>1549.3420800000001</v>
      </c>
      <c r="J10" s="42" t="str">
        <f>B88</f>
        <v>Roof Sheathing</v>
      </c>
      <c r="K10" s="118">
        <f>H97</f>
        <v>7162.636323490266</v>
      </c>
      <c r="L10" s="115"/>
      <c r="M10" s="115"/>
      <c r="N10" s="72"/>
      <c r="O10" s="115"/>
      <c r="R10" s="97"/>
      <c r="S10" s="22"/>
      <c r="V10" s="57"/>
      <c r="X10" s="97"/>
      <c r="Z10" s="57"/>
      <c r="AB10" s="97"/>
      <c r="AD10" s="57"/>
    </row>
    <row r="11" spans="2:30" ht="12.75">
      <c r="B11" s="114" t="s">
        <v>694</v>
      </c>
      <c r="C11" s="114"/>
      <c r="D11" s="115"/>
      <c r="E11" s="72"/>
      <c r="F11" s="115"/>
      <c r="G11" s="117"/>
      <c r="H11" s="118"/>
      <c r="J11" s="42" t="str">
        <f>B98</f>
        <v>Beams</v>
      </c>
      <c r="K11" s="118">
        <f>H113</f>
        <v>9508.108896</v>
      </c>
      <c r="L11" s="72"/>
      <c r="M11" s="115"/>
      <c r="N11" s="72"/>
      <c r="O11" s="115"/>
      <c r="R11" s="97"/>
      <c r="S11" s="22"/>
      <c r="V11" s="57"/>
      <c r="X11" s="97"/>
      <c r="Y11" s="57"/>
      <c r="Z11" s="57"/>
      <c r="AB11" s="97"/>
      <c r="AC11" s="57"/>
      <c r="AD11" s="57"/>
    </row>
    <row r="12" spans="2:30" ht="12.75">
      <c r="B12" s="114" t="s">
        <v>695</v>
      </c>
      <c r="C12" s="114"/>
      <c r="D12" s="115"/>
      <c r="E12" s="115"/>
      <c r="F12" s="115"/>
      <c r="G12" s="117"/>
      <c r="H12" s="118"/>
      <c r="J12" s="42" t="str">
        <f>B115</f>
        <v>Hardware</v>
      </c>
      <c r="K12" s="118">
        <f>H124</f>
        <v>2250</v>
      </c>
      <c r="L12" s="72"/>
      <c r="M12" s="115"/>
      <c r="N12" s="72"/>
      <c r="O12" s="115"/>
      <c r="R12" s="97"/>
      <c r="S12" s="22"/>
      <c r="V12" s="57"/>
      <c r="X12" s="97"/>
      <c r="Y12" s="57"/>
      <c r="Z12" s="57"/>
      <c r="AB12" s="97"/>
      <c r="AC12" s="57"/>
      <c r="AD12" s="57"/>
    </row>
    <row r="13" spans="2:30" ht="12.75">
      <c r="B13" s="114" t="s">
        <v>696</v>
      </c>
      <c r="C13" s="114"/>
      <c r="D13" s="115">
        <v>30</v>
      </c>
      <c r="E13" s="72">
        <v>10</v>
      </c>
      <c r="F13" s="115">
        <f>D13*1.2/2</f>
        <v>18</v>
      </c>
      <c r="G13" s="117">
        <f>Retail_Prices!$G$21</f>
        <v>8.509644</v>
      </c>
      <c r="H13" s="118">
        <f>G13*F13</f>
        <v>153.17359199999999</v>
      </c>
      <c r="J13" s="42"/>
      <c r="K13" s="118"/>
      <c r="L13" s="72"/>
      <c r="M13" s="115"/>
      <c r="N13" s="72"/>
      <c r="O13" s="115"/>
      <c r="R13" s="97"/>
      <c r="V13" s="57"/>
      <c r="X13" s="97"/>
      <c r="Y13" s="57"/>
      <c r="Z13" s="57"/>
      <c r="AB13" s="97"/>
      <c r="AC13" s="57"/>
      <c r="AD13" s="57"/>
    </row>
    <row r="14" spans="2:22" ht="12.75">
      <c r="B14" s="114" t="s">
        <v>697</v>
      </c>
      <c r="C14" s="114"/>
      <c r="D14" s="115">
        <v>30</v>
      </c>
      <c r="E14" s="115">
        <v>10</v>
      </c>
      <c r="F14" s="115">
        <f>D14*2*1.2/E14</f>
        <v>7.2</v>
      </c>
      <c r="G14" s="117">
        <f>Retail_Prices!$G$21</f>
        <v>8.509644</v>
      </c>
      <c r="H14" s="118">
        <f>G14*F14</f>
        <v>61.2694368</v>
      </c>
      <c r="J14" s="42"/>
      <c r="K14" s="7"/>
      <c r="L14" s="72"/>
      <c r="M14" s="115"/>
      <c r="N14" s="72"/>
      <c r="O14" s="115"/>
      <c r="R14" s="97"/>
      <c r="S14" s="57"/>
      <c r="T14" s="57"/>
      <c r="U14" s="57"/>
      <c r="V14" s="57"/>
    </row>
    <row r="15" spans="2:22" ht="12.75">
      <c r="B15" s="114" t="s">
        <v>698</v>
      </c>
      <c r="C15" s="114"/>
      <c r="D15" s="115">
        <f>D$6</f>
        <v>400</v>
      </c>
      <c r="E15" s="72">
        <v>8</v>
      </c>
      <c r="F15" s="115">
        <f>(D15/4/8)*1.1</f>
        <v>13.750000000000002</v>
      </c>
      <c r="G15" s="117">
        <f>Retail_Prices!$G$47</f>
        <v>35.190584</v>
      </c>
      <c r="H15" s="118">
        <f>G15*F15</f>
        <v>483.8705300000001</v>
      </c>
      <c r="J15" s="123" t="s">
        <v>6</v>
      </c>
      <c r="K15" s="181">
        <f>SUM(K4:K14)</f>
        <v>51614.3379304666</v>
      </c>
      <c r="L15" s="72"/>
      <c r="M15" s="115"/>
      <c r="N15" s="72"/>
      <c r="O15" s="115"/>
      <c r="R15" s="97"/>
      <c r="S15" s="57"/>
      <c r="T15" s="57"/>
      <c r="U15" s="57"/>
      <c r="V15" s="57"/>
    </row>
    <row r="16" spans="2:22" ht="12.75">
      <c r="B16" s="114" t="s">
        <v>699</v>
      </c>
      <c r="C16" s="114"/>
      <c r="D16" s="115"/>
      <c r="E16" s="115"/>
      <c r="F16" s="115">
        <f>SUM(F8:F15)*8</f>
        <v>2519.6</v>
      </c>
      <c r="G16" s="117">
        <f>Retail_Prices!$H$89</f>
        <v>0.013837681</v>
      </c>
      <c r="H16" s="118">
        <f>G16*F16</f>
        <v>34.865421047599995</v>
      </c>
      <c r="K16" s="115"/>
      <c r="L16" s="72"/>
      <c r="M16" s="115"/>
      <c r="N16" s="72"/>
      <c r="O16" s="115"/>
      <c r="R16" s="97"/>
      <c r="S16" s="57"/>
      <c r="T16" s="57"/>
      <c r="U16" s="57"/>
      <c r="V16" s="57"/>
    </row>
    <row r="17" spans="2:22" ht="12.75">
      <c r="B17" s="114" t="s">
        <v>700</v>
      </c>
      <c r="C17" s="114"/>
      <c r="D17" s="115"/>
      <c r="E17" s="115"/>
      <c r="F17" s="115"/>
      <c r="G17" s="117"/>
      <c r="H17" s="118">
        <v>250</v>
      </c>
      <c r="K17" s="115"/>
      <c r="L17" s="72"/>
      <c r="M17" s="115"/>
      <c r="N17" s="72"/>
      <c r="O17" s="115"/>
      <c r="R17" s="97"/>
      <c r="S17" s="57"/>
      <c r="T17" s="57"/>
      <c r="U17" s="57"/>
      <c r="V17" s="57"/>
    </row>
    <row r="18" spans="2:22" ht="12.75">
      <c r="B18" s="114"/>
      <c r="C18" s="114"/>
      <c r="D18" s="115"/>
      <c r="E18" s="115"/>
      <c r="F18" s="115"/>
      <c r="G18" s="117"/>
      <c r="H18" s="118"/>
      <c r="K18" s="115"/>
      <c r="L18" s="72"/>
      <c r="M18" s="115"/>
      <c r="N18" s="72"/>
      <c r="O18" s="115"/>
      <c r="R18" s="97"/>
      <c r="S18" s="57"/>
      <c r="T18" s="57"/>
      <c r="U18" s="57"/>
      <c r="V18" s="57"/>
    </row>
    <row r="19" spans="2:15" ht="12.75" customHeight="1">
      <c r="B19" s="182" t="s">
        <v>6</v>
      </c>
      <c r="C19" s="182"/>
      <c r="D19" s="182"/>
      <c r="E19" s="182"/>
      <c r="F19" s="182"/>
      <c r="G19" s="182"/>
      <c r="H19" s="144">
        <f>SUM(H6:H16)</f>
        <v>5487.429051847601</v>
      </c>
      <c r="K19" s="115"/>
      <c r="L19" s="115"/>
      <c r="M19" s="115"/>
      <c r="N19" s="72"/>
      <c r="O19" s="115"/>
    </row>
    <row r="20" spans="2:15" ht="12.75" customHeight="1">
      <c r="B20" s="98"/>
      <c r="C20" s="98"/>
      <c r="D20" s="98"/>
      <c r="E20" s="98"/>
      <c r="F20" s="98"/>
      <c r="G20" s="98"/>
      <c r="H20" s="98"/>
      <c r="K20" s="183"/>
      <c r="L20" s="96"/>
      <c r="M20" s="96"/>
      <c r="N20" s="96"/>
      <c r="O20" s="96"/>
    </row>
    <row r="21" spans="2:22" ht="12.75" customHeight="1">
      <c r="B21" s="98" t="s">
        <v>701</v>
      </c>
      <c r="C21" s="98"/>
      <c r="D21" s="98"/>
      <c r="E21" s="98"/>
      <c r="F21" s="98"/>
      <c r="G21" s="98"/>
      <c r="H21" s="98"/>
      <c r="J21" s="96"/>
      <c r="K21" s="96"/>
      <c r="L21" s="96"/>
      <c r="M21" s="96"/>
      <c r="N21" s="96"/>
      <c r="O21" s="96"/>
      <c r="R21" s="178"/>
      <c r="S21" s="178"/>
      <c r="T21" s="178"/>
      <c r="U21" s="178"/>
      <c r="V21" s="178"/>
    </row>
    <row r="22" spans="2:22" ht="12.75">
      <c r="B22" s="114" t="s">
        <v>542</v>
      </c>
      <c r="C22" s="114"/>
      <c r="D22" s="115" t="s">
        <v>685</v>
      </c>
      <c r="E22" s="72" t="s">
        <v>702</v>
      </c>
      <c r="F22" s="115" t="s">
        <v>703</v>
      </c>
      <c r="G22" s="72" t="s">
        <v>688</v>
      </c>
      <c r="H22" s="118" t="s">
        <v>6</v>
      </c>
      <c r="J22" s="115"/>
      <c r="K22" s="115"/>
      <c r="L22" s="72"/>
      <c r="M22" s="115"/>
      <c r="N22" s="72"/>
      <c r="O22" s="115"/>
      <c r="R22" s="97"/>
      <c r="V22" s="57"/>
    </row>
    <row r="23" spans="2:26" ht="12.75">
      <c r="B23" s="114" t="s">
        <v>704</v>
      </c>
      <c r="C23" s="114"/>
      <c r="D23" s="115">
        <f>328+36+36</f>
        <v>400</v>
      </c>
      <c r="E23" s="72">
        <v>4</v>
      </c>
      <c r="F23" s="115">
        <f>(D23*1.15)/E23</f>
        <v>114.99999999999999</v>
      </c>
      <c r="G23" s="117">
        <f>Retail_Prices!G49</f>
        <v>27.55038</v>
      </c>
      <c r="H23" s="118">
        <f>G23*F23</f>
        <v>3168.2936999999997</v>
      </c>
      <c r="J23" s="115"/>
      <c r="K23" s="115"/>
      <c r="L23" s="72"/>
      <c r="M23" s="115"/>
      <c r="N23" s="72"/>
      <c r="O23" s="115"/>
      <c r="R23" s="97"/>
      <c r="S23" s="22"/>
      <c r="V23" s="57"/>
      <c r="X23" s="57"/>
      <c r="Z23" s="57"/>
    </row>
    <row r="24" spans="2:26" ht="12.75">
      <c r="B24" s="114" t="s">
        <v>704</v>
      </c>
      <c r="C24" s="114"/>
      <c r="D24" s="115">
        <f>328+36+36</f>
        <v>400</v>
      </c>
      <c r="E24" s="72">
        <v>16</v>
      </c>
      <c r="F24" s="115">
        <f>(D24*1.15)/E24</f>
        <v>28.749999999999996</v>
      </c>
      <c r="G24" s="117">
        <f>Retail_Prices!G49</f>
        <v>27.55038</v>
      </c>
      <c r="H24" s="118">
        <f>G24*F24</f>
        <v>792.0734249999999</v>
      </c>
      <c r="J24" s="115"/>
      <c r="K24" s="115"/>
      <c r="L24" s="72"/>
      <c r="M24" s="115"/>
      <c r="N24" s="72"/>
      <c r="O24" s="115"/>
      <c r="R24" s="97"/>
      <c r="S24" s="22"/>
      <c r="V24" s="57"/>
      <c r="X24" s="57"/>
      <c r="Z24" s="57"/>
    </row>
    <row r="25" spans="2:26" ht="12.75">
      <c r="B25" s="114" t="s">
        <v>699</v>
      </c>
      <c r="C25" s="114"/>
      <c r="D25" s="115">
        <f>D24</f>
        <v>400</v>
      </c>
      <c r="E25" s="72"/>
      <c r="F25" s="115">
        <f>(8*2)*(D25/2)+(D25*2*2)</f>
        <v>4800</v>
      </c>
      <c r="G25" s="117">
        <f>Retail_Prices!$H$89</f>
        <v>0.013837681</v>
      </c>
      <c r="H25" s="118">
        <f>G25*F25</f>
        <v>66.4208688</v>
      </c>
      <c r="J25" s="115"/>
      <c r="K25" s="115"/>
      <c r="L25" s="72"/>
      <c r="M25" s="115"/>
      <c r="N25" s="72"/>
      <c r="O25" s="115"/>
      <c r="R25" s="97"/>
      <c r="V25" s="57"/>
      <c r="X25" s="57"/>
      <c r="Y25" s="57"/>
      <c r="Z25" s="57"/>
    </row>
    <row r="26" spans="2:26" ht="12.75">
      <c r="B26" s="114"/>
      <c r="C26" s="114"/>
      <c r="D26" s="115"/>
      <c r="E26" s="72"/>
      <c r="F26" s="115"/>
      <c r="G26" s="117"/>
      <c r="H26" s="118"/>
      <c r="J26" s="115"/>
      <c r="K26" s="115"/>
      <c r="L26" s="72"/>
      <c r="M26" s="115"/>
      <c r="N26" s="72"/>
      <c r="O26" s="115"/>
      <c r="R26" s="97"/>
      <c r="V26" s="57"/>
      <c r="X26" s="57"/>
      <c r="Y26" s="57"/>
      <c r="Z26" s="57"/>
    </row>
    <row r="27" spans="2:26" ht="12.75">
      <c r="B27" s="114"/>
      <c r="C27" s="114"/>
      <c r="D27" s="115"/>
      <c r="E27" s="72"/>
      <c r="F27" s="115"/>
      <c r="G27" s="117"/>
      <c r="H27" s="118"/>
      <c r="J27" s="115"/>
      <c r="K27" s="115"/>
      <c r="L27" s="72"/>
      <c r="M27" s="115"/>
      <c r="N27" s="72"/>
      <c r="O27" s="115"/>
      <c r="R27" s="97"/>
      <c r="V27" s="57"/>
      <c r="X27" s="57"/>
      <c r="Y27" s="57"/>
      <c r="Z27" s="57"/>
    </row>
    <row r="28" spans="2:26" ht="12.75" customHeight="1">
      <c r="B28" s="182" t="s">
        <v>6</v>
      </c>
      <c r="C28" s="182"/>
      <c r="D28" s="182"/>
      <c r="E28" s="182"/>
      <c r="F28" s="182"/>
      <c r="G28" s="182"/>
      <c r="H28" s="144">
        <f>SUM(H23:H27)</f>
        <v>4026.7879937999996</v>
      </c>
      <c r="J28" s="115"/>
      <c r="K28" s="115"/>
      <c r="L28" s="115"/>
      <c r="M28" s="115"/>
      <c r="N28" s="72"/>
      <c r="O28" s="115"/>
      <c r="R28" s="97"/>
      <c r="S28" s="22"/>
      <c r="V28" s="57"/>
      <c r="X28" s="57"/>
      <c r="Y28" s="57"/>
      <c r="Z28" s="57"/>
    </row>
    <row r="29" spans="2:22" ht="12.75" customHeight="1">
      <c r="B29" s="52" t="s">
        <v>705</v>
      </c>
      <c r="C29" s="52"/>
      <c r="D29" s="52"/>
      <c r="E29" s="52"/>
      <c r="F29" s="52"/>
      <c r="G29" s="52"/>
      <c r="H29" s="52"/>
      <c r="J29" s="96"/>
      <c r="K29" s="96"/>
      <c r="L29" s="96"/>
      <c r="M29" s="96"/>
      <c r="N29" s="96"/>
      <c r="O29" s="96"/>
      <c r="R29" s="97"/>
      <c r="S29" s="22"/>
      <c r="V29" s="57"/>
    </row>
    <row r="30" spans="2:22" ht="12.75">
      <c r="B30" s="114" t="s">
        <v>542</v>
      </c>
      <c r="C30" s="114"/>
      <c r="D30" s="115" t="s">
        <v>706</v>
      </c>
      <c r="E30" s="72" t="s">
        <v>686</v>
      </c>
      <c r="F30" s="115" t="s">
        <v>607</v>
      </c>
      <c r="G30" s="72" t="s">
        <v>688</v>
      </c>
      <c r="H30" s="116" t="s">
        <v>6</v>
      </c>
      <c r="J30" s="115"/>
      <c r="K30" s="115"/>
      <c r="L30" s="72"/>
      <c r="M30" s="115"/>
      <c r="N30" s="72"/>
      <c r="O30" s="115"/>
      <c r="R30" s="97"/>
      <c r="S30" s="22"/>
      <c r="V30" s="57"/>
    </row>
    <row r="31" spans="2:22" ht="12.75">
      <c r="B31" s="114" t="s">
        <v>689</v>
      </c>
      <c r="C31" s="114"/>
      <c r="D31" s="115">
        <v>484</v>
      </c>
      <c r="E31" s="72">
        <v>8</v>
      </c>
      <c r="F31" s="115">
        <f>(D31/2)*1.35</f>
        <v>326.70000000000005</v>
      </c>
      <c r="G31" s="117">
        <f>Retail_Prices!$G$16</f>
        <v>4.140708</v>
      </c>
      <c r="H31" s="118">
        <f>G31*F31</f>
        <v>1352.7693036000003</v>
      </c>
      <c r="J31" s="115"/>
      <c r="K31" s="115"/>
      <c r="L31" s="72"/>
      <c r="M31" s="115"/>
      <c r="N31" s="72"/>
      <c r="O31" s="115"/>
      <c r="R31" s="97"/>
      <c r="S31" s="22"/>
      <c r="V31" s="57"/>
    </row>
    <row r="32" spans="2:22" ht="12.75">
      <c r="B32" s="114" t="s">
        <v>691</v>
      </c>
      <c r="C32" s="114"/>
      <c r="D32" s="115">
        <v>22</v>
      </c>
      <c r="E32" s="72">
        <v>8</v>
      </c>
      <c r="F32" s="115">
        <f>D32*2*1.15</f>
        <v>50.599999999999994</v>
      </c>
      <c r="G32" s="117">
        <f>Retail_Prices!$G$16</f>
        <v>4.140708</v>
      </c>
      <c r="H32" s="118">
        <f>G32*F32</f>
        <v>209.51982479999998</v>
      </c>
      <c r="J32" s="115"/>
      <c r="K32" s="115"/>
      <c r="L32" s="72"/>
      <c r="M32" s="115"/>
      <c r="N32" s="72"/>
      <c r="O32" s="115"/>
      <c r="R32" s="97"/>
      <c r="V32" s="57"/>
    </row>
    <row r="33" spans="2:22" ht="12.75">
      <c r="B33" s="114" t="s">
        <v>707</v>
      </c>
      <c r="C33" s="114"/>
      <c r="D33" s="115">
        <v>22</v>
      </c>
      <c r="E33" s="72">
        <v>8</v>
      </c>
      <c r="F33" s="115">
        <f>(D33/2)*1.15</f>
        <v>12.649999999999999</v>
      </c>
      <c r="G33" s="117">
        <f>Retail_Prices!$G$20</f>
        <v>5.281848</v>
      </c>
      <c r="H33" s="118">
        <f>G33*F33</f>
        <v>66.8153772</v>
      </c>
      <c r="J33" s="115"/>
      <c r="K33" s="115"/>
      <c r="L33" s="72"/>
      <c r="M33" s="115"/>
      <c r="N33" s="72"/>
      <c r="O33" s="115"/>
      <c r="R33" s="97"/>
      <c r="S33" s="57"/>
      <c r="T33" s="57"/>
      <c r="U33" s="57"/>
      <c r="V33" s="57"/>
    </row>
    <row r="34" spans="2:15" ht="12.75">
      <c r="B34" s="114" t="s">
        <v>690</v>
      </c>
      <c r="C34" s="114"/>
      <c r="D34" s="115">
        <f>D31</f>
        <v>484</v>
      </c>
      <c r="E34" s="159">
        <v>8</v>
      </c>
      <c r="F34" s="115">
        <f>(D34/E34)*2*1.15</f>
        <v>139.14999999999998</v>
      </c>
      <c r="G34" s="184">
        <f>Retail_Prices!$G$16</f>
        <v>4.140708</v>
      </c>
      <c r="H34" s="118">
        <f>G34*F34</f>
        <v>576.1795182</v>
      </c>
      <c r="J34" s="115"/>
      <c r="K34" s="115"/>
      <c r="L34" s="72"/>
      <c r="M34" s="115"/>
      <c r="N34" s="72"/>
      <c r="O34" s="115"/>
    </row>
    <row r="35" spans="2:15" ht="12.75">
      <c r="B35" s="114" t="s">
        <v>696</v>
      </c>
      <c r="C35" s="114"/>
      <c r="D35" s="159">
        <v>66</v>
      </c>
      <c r="E35" s="159">
        <v>8</v>
      </c>
      <c r="F35" s="159">
        <f>(D35/2)*1.25</f>
        <v>41.25</v>
      </c>
      <c r="G35" s="117">
        <f>Retail_Prices!$G$20</f>
        <v>5.281848</v>
      </c>
      <c r="H35" s="118">
        <f>G35*F35</f>
        <v>217.87623</v>
      </c>
      <c r="J35" s="115"/>
      <c r="K35" s="115"/>
      <c r="L35" s="72"/>
      <c r="M35" s="115"/>
      <c r="N35" s="72"/>
      <c r="O35" s="115"/>
    </row>
    <row r="36" spans="2:28" ht="12.75">
      <c r="B36" s="114" t="s">
        <v>708</v>
      </c>
      <c r="C36" s="114"/>
      <c r="D36" s="159">
        <v>3</v>
      </c>
      <c r="E36" s="159">
        <v>8</v>
      </c>
      <c r="F36" s="159">
        <f>(D36/2)*1.15</f>
        <v>1.7249999999999999</v>
      </c>
      <c r="G36" s="117">
        <f>Retail_Prices!$G$20</f>
        <v>5.281848</v>
      </c>
      <c r="H36" s="118">
        <f>G36*F36</f>
        <v>9.1111878</v>
      </c>
      <c r="J36" s="96"/>
      <c r="K36" s="96"/>
      <c r="L36" s="96"/>
      <c r="M36" s="96"/>
      <c r="N36" s="96"/>
      <c r="O36" s="96"/>
      <c r="R36" s="178"/>
      <c r="S36" s="178"/>
      <c r="T36" s="178"/>
      <c r="U36" s="178"/>
      <c r="V36" s="178"/>
      <c r="AA36" s="22"/>
      <c r="AB36" s="22"/>
    </row>
    <row r="37" spans="2:28" ht="12.75">
      <c r="B37" s="114" t="s">
        <v>697</v>
      </c>
      <c r="C37" s="114"/>
      <c r="D37" s="115">
        <f>D35</f>
        <v>66</v>
      </c>
      <c r="E37" s="115">
        <v>8</v>
      </c>
      <c r="F37" s="115">
        <f>(D37/E37)*2*1.15</f>
        <v>18.974999999999998</v>
      </c>
      <c r="G37" s="117">
        <f>Retail_Prices!$G$20</f>
        <v>5.281848</v>
      </c>
      <c r="H37" s="118">
        <f>G37*F37</f>
        <v>100.22306579999999</v>
      </c>
      <c r="J37" s="115"/>
      <c r="K37" s="115"/>
      <c r="L37" s="72"/>
      <c r="M37" s="115"/>
      <c r="N37" s="72"/>
      <c r="O37" s="115"/>
      <c r="R37" s="97"/>
      <c r="V37" s="57"/>
      <c r="AA37" s="22"/>
      <c r="AB37" s="22"/>
    </row>
    <row r="38" spans="2:28" ht="12.75">
      <c r="B38" s="114" t="s">
        <v>698</v>
      </c>
      <c r="C38" s="114"/>
      <c r="D38" s="115">
        <f>D31+D35</f>
        <v>550</v>
      </c>
      <c r="E38" s="115">
        <v>80</v>
      </c>
      <c r="F38" s="115">
        <f>D38/E38</f>
        <v>6.875</v>
      </c>
      <c r="G38" s="185">
        <f>Retail_Prices!$G$47</f>
        <v>35.190584</v>
      </c>
      <c r="H38" s="118">
        <f>G38*F38</f>
        <v>241.93526500000002</v>
      </c>
      <c r="J38" s="115"/>
      <c r="K38" s="115"/>
      <c r="L38" s="72"/>
      <c r="M38" s="115"/>
      <c r="N38" s="72"/>
      <c r="O38" s="115"/>
      <c r="R38" s="97"/>
      <c r="S38" s="22"/>
      <c r="V38" s="57"/>
      <c r="AA38" s="22"/>
      <c r="AB38" s="22"/>
    </row>
    <row r="39" spans="2:22" ht="12.75">
      <c r="B39" s="114" t="s">
        <v>699</v>
      </c>
      <c r="C39" s="114"/>
      <c r="D39" s="115"/>
      <c r="E39" s="115"/>
      <c r="F39" s="115">
        <f>SUM(F31:F38)*8</f>
        <v>4783.4</v>
      </c>
      <c r="G39" s="185">
        <f>Retail_Prices!H89</f>
        <v>0.013837681</v>
      </c>
      <c r="H39" s="118">
        <f>G39*F39</f>
        <v>66.19116329539999</v>
      </c>
      <c r="J39" s="115"/>
      <c r="K39" s="115"/>
      <c r="L39" s="72"/>
      <c r="M39" s="115"/>
      <c r="N39" s="72"/>
      <c r="O39" s="115"/>
      <c r="R39" s="97"/>
      <c r="S39" s="22"/>
      <c r="V39" s="57"/>
    </row>
    <row r="40" spans="2:22" ht="12.75">
      <c r="B40" s="114"/>
      <c r="C40" s="114"/>
      <c r="D40" s="115"/>
      <c r="E40" s="115"/>
      <c r="F40" s="115"/>
      <c r="G40" s="185"/>
      <c r="H40" s="118"/>
      <c r="J40" s="115"/>
      <c r="K40" s="115"/>
      <c r="L40" s="72"/>
      <c r="M40" s="115"/>
      <c r="N40" s="72"/>
      <c r="O40" s="115"/>
      <c r="R40" s="97"/>
      <c r="S40" s="22"/>
      <c r="V40" s="57"/>
    </row>
    <row r="41" spans="2:22" ht="12.75">
      <c r="B41" s="114"/>
      <c r="C41" s="114"/>
      <c r="D41" s="115"/>
      <c r="E41" s="115"/>
      <c r="F41" s="115"/>
      <c r="G41" s="185"/>
      <c r="H41" s="118"/>
      <c r="J41" s="115"/>
      <c r="K41" s="115"/>
      <c r="L41" s="72"/>
      <c r="M41" s="115"/>
      <c r="N41" s="72"/>
      <c r="O41" s="115"/>
      <c r="R41" s="97"/>
      <c r="S41" s="22"/>
      <c r="V41" s="57"/>
    </row>
    <row r="42" spans="2:22" ht="12.75" customHeight="1">
      <c r="B42" s="182" t="s">
        <v>6</v>
      </c>
      <c r="C42" s="182"/>
      <c r="D42" s="182"/>
      <c r="E42" s="182"/>
      <c r="F42" s="182"/>
      <c r="G42" s="182"/>
      <c r="H42" s="144">
        <f>SUM(H31:H41)</f>
        <v>2840.6209356954005</v>
      </c>
      <c r="J42" s="115"/>
      <c r="K42" s="115"/>
      <c r="L42" s="72"/>
      <c r="M42" s="115"/>
      <c r="N42" s="72"/>
      <c r="O42" s="115"/>
      <c r="R42" s="97"/>
      <c r="V42" s="57"/>
    </row>
    <row r="43" spans="2:22" ht="12.75" customHeight="1">
      <c r="B43" s="186" t="s">
        <v>709</v>
      </c>
      <c r="C43" s="186"/>
      <c r="D43" s="186"/>
      <c r="E43" s="186"/>
      <c r="F43" s="186"/>
      <c r="G43" s="186"/>
      <c r="H43" s="186"/>
      <c r="I43" s="170"/>
      <c r="J43" s="115"/>
      <c r="K43" s="115"/>
      <c r="L43" s="72"/>
      <c r="M43" s="115"/>
      <c r="N43" s="72"/>
      <c r="O43" s="115"/>
      <c r="R43" s="97"/>
      <c r="V43" s="57"/>
    </row>
    <row r="44" spans="2:22" ht="12.75">
      <c r="B44" s="145" t="s">
        <v>710</v>
      </c>
      <c r="C44" s="145"/>
      <c r="D44" s="146" t="s">
        <v>711</v>
      </c>
      <c r="E44" s="165" t="s">
        <v>712</v>
      </c>
      <c r="F44" s="146" t="s">
        <v>607</v>
      </c>
      <c r="G44" s="165" t="s">
        <v>688</v>
      </c>
      <c r="H44" s="169" t="s">
        <v>6</v>
      </c>
      <c r="I44" s="170"/>
      <c r="J44" s="115"/>
      <c r="K44" s="115"/>
      <c r="L44" s="72"/>
      <c r="M44" s="115"/>
      <c r="N44" s="72"/>
      <c r="O44" s="115"/>
      <c r="R44" s="97"/>
      <c r="V44" s="57"/>
    </row>
    <row r="45" spans="2:22" ht="12.75">
      <c r="B45" s="187" t="s">
        <v>506</v>
      </c>
      <c r="C45" s="187"/>
      <c r="D45" s="188" t="s">
        <v>713</v>
      </c>
      <c r="E45" s="147">
        <v>10</v>
      </c>
      <c r="F45" s="147">
        <v>4</v>
      </c>
      <c r="G45" s="189">
        <f>Retail_Prices!$H$37</f>
        <v>3.6407800000000003</v>
      </c>
      <c r="H45" s="190">
        <f>E45*F45*G45</f>
        <v>145.6312</v>
      </c>
      <c r="I45" s="170"/>
      <c r="J45" s="115"/>
      <c r="K45" s="115"/>
      <c r="L45" s="72"/>
      <c r="M45" s="115"/>
      <c r="N45" s="72"/>
      <c r="O45" s="115"/>
      <c r="R45" s="97"/>
      <c r="V45" s="57"/>
    </row>
    <row r="46" spans="2:22" ht="12.75">
      <c r="B46" s="187" t="s">
        <v>714</v>
      </c>
      <c r="C46" s="187"/>
      <c r="D46" s="188" t="s">
        <v>713</v>
      </c>
      <c r="E46" s="147">
        <v>10</v>
      </c>
      <c r="F46" s="147">
        <f>10*4</f>
        <v>40</v>
      </c>
      <c r="G46" s="189">
        <f>Retail_Prices!$H$16</f>
        <v>4.140708</v>
      </c>
      <c r="H46" s="190">
        <f>E46*F46*G46</f>
        <v>1656.2832</v>
      </c>
      <c r="I46" s="170"/>
      <c r="J46" s="115"/>
      <c r="K46" s="115"/>
      <c r="L46" s="72"/>
      <c r="M46" s="115"/>
      <c r="N46" s="72"/>
      <c r="O46" s="115"/>
      <c r="R46" s="97"/>
      <c r="V46" s="57"/>
    </row>
    <row r="47" spans="2:22" ht="12.75">
      <c r="B47" s="187" t="s">
        <v>715</v>
      </c>
      <c r="C47" s="187"/>
      <c r="D47" s="188" t="s">
        <v>716</v>
      </c>
      <c r="E47" s="147">
        <v>4</v>
      </c>
      <c r="F47" s="147">
        <f>2*4</f>
        <v>8</v>
      </c>
      <c r="G47" s="189">
        <f>Retail_Prices!$H$16</f>
        <v>4.140708</v>
      </c>
      <c r="H47" s="190">
        <f>E47*F47*G47</f>
        <v>132.502656</v>
      </c>
      <c r="I47" s="170"/>
      <c r="J47" s="115"/>
      <c r="K47" s="115"/>
      <c r="L47" s="72"/>
      <c r="M47" s="115"/>
      <c r="N47" s="72"/>
      <c r="O47" s="115"/>
      <c r="R47" s="97"/>
      <c r="V47" s="57"/>
    </row>
    <row r="48" spans="2:22" ht="12.75">
      <c r="B48" s="187" t="s">
        <v>717</v>
      </c>
      <c r="C48" s="187"/>
      <c r="D48" s="188" t="s">
        <v>718</v>
      </c>
      <c r="E48" s="147">
        <v>10</v>
      </c>
      <c r="F48" s="147">
        <f>3*4</f>
        <v>12</v>
      </c>
      <c r="G48" s="189">
        <f>Retail_Prices!$H$16</f>
        <v>4.140708</v>
      </c>
      <c r="H48" s="190">
        <f>E48*F48*G48</f>
        <v>496.88496</v>
      </c>
      <c r="I48" s="170"/>
      <c r="J48" s="115"/>
      <c r="K48" s="115"/>
      <c r="L48" s="72"/>
      <c r="M48" s="115"/>
      <c r="N48" s="72"/>
      <c r="O48" s="115"/>
      <c r="R48" s="97"/>
      <c r="V48" s="57"/>
    </row>
    <row r="49" spans="2:22" ht="12.75">
      <c r="B49" s="187" t="s">
        <v>529</v>
      </c>
      <c r="C49" s="187"/>
      <c r="D49" s="188" t="s">
        <v>716</v>
      </c>
      <c r="E49" s="147">
        <v>10</v>
      </c>
      <c r="F49" s="147">
        <v>4</v>
      </c>
      <c r="G49" s="189">
        <f>Retail_Prices!$H$37</f>
        <v>3.6407800000000003</v>
      </c>
      <c r="H49" s="190">
        <f>E49*F49*G49</f>
        <v>145.6312</v>
      </c>
      <c r="I49" s="170"/>
      <c r="J49" s="115"/>
      <c r="K49" s="115"/>
      <c r="L49" s="72"/>
      <c r="M49" s="115"/>
      <c r="N49" s="72"/>
      <c r="O49" s="115"/>
      <c r="R49" s="97"/>
      <c r="V49" s="57"/>
    </row>
    <row r="50" spans="2:22" ht="12.75">
      <c r="B50" s="191" t="s">
        <v>429</v>
      </c>
      <c r="C50" s="191"/>
      <c r="D50" s="192" t="s">
        <v>519</v>
      </c>
      <c r="E50" s="193">
        <v>25</v>
      </c>
      <c r="F50" s="193">
        <v>1</v>
      </c>
      <c r="G50" s="194">
        <f>Retail_Prices!H85</f>
        <v>21.736</v>
      </c>
      <c r="H50" s="195">
        <f>E50*F50*G50</f>
        <v>543.4</v>
      </c>
      <c r="I50" s="170"/>
      <c r="J50" s="115"/>
      <c r="K50" s="115"/>
      <c r="L50" s="72"/>
      <c r="M50" s="115"/>
      <c r="N50" s="72"/>
      <c r="O50" s="115"/>
      <c r="R50" s="97"/>
      <c r="V50" s="57"/>
    </row>
    <row r="51" spans="2:22" ht="12.75">
      <c r="B51" s="196"/>
      <c r="C51" s="196"/>
      <c r="D51" s="170"/>
      <c r="E51" s="147"/>
      <c r="F51" s="147"/>
      <c r="G51" s="147"/>
      <c r="H51" s="190"/>
      <c r="I51" s="170"/>
      <c r="J51" s="115"/>
      <c r="K51" s="115"/>
      <c r="L51" s="72"/>
      <c r="M51" s="115"/>
      <c r="N51" s="72"/>
      <c r="O51" s="115"/>
      <c r="R51" s="97"/>
      <c r="V51" s="57"/>
    </row>
    <row r="52" spans="2:22" ht="12.75">
      <c r="B52" s="196"/>
      <c r="C52" s="196"/>
      <c r="D52" s="170"/>
      <c r="E52" s="147"/>
      <c r="F52" s="147"/>
      <c r="G52" s="147"/>
      <c r="H52" s="190"/>
      <c r="I52" s="170"/>
      <c r="J52" s="115"/>
      <c r="K52" s="115"/>
      <c r="L52" s="72"/>
      <c r="M52" s="115"/>
      <c r="N52" s="72"/>
      <c r="O52" s="115"/>
      <c r="R52" s="97"/>
      <c r="V52" s="57"/>
    </row>
    <row r="53" spans="2:22" ht="12.75">
      <c r="B53" s="196"/>
      <c r="C53" s="196"/>
      <c r="D53" s="170"/>
      <c r="E53" s="147"/>
      <c r="F53" s="147"/>
      <c r="G53" s="147"/>
      <c r="H53" s="190"/>
      <c r="I53" s="170"/>
      <c r="J53" s="115"/>
      <c r="K53" s="115"/>
      <c r="L53" s="72"/>
      <c r="M53" s="115"/>
      <c r="N53" s="72"/>
      <c r="O53" s="115"/>
      <c r="R53" s="97"/>
      <c r="V53" s="57"/>
    </row>
    <row r="54" spans="2:22" ht="12.75">
      <c r="B54" s="196"/>
      <c r="C54" s="196"/>
      <c r="D54" s="170"/>
      <c r="E54" s="147"/>
      <c r="F54" s="147"/>
      <c r="G54" s="147"/>
      <c r="H54" s="190"/>
      <c r="I54" s="170"/>
      <c r="J54" s="115"/>
      <c r="K54" s="115"/>
      <c r="L54" s="72"/>
      <c r="M54" s="115"/>
      <c r="N54" s="72"/>
      <c r="O54" s="115"/>
      <c r="R54" s="97"/>
      <c r="V54" s="57"/>
    </row>
    <row r="55" spans="2:22" ht="12.75">
      <c r="B55" s="196"/>
      <c r="C55" s="196"/>
      <c r="D55" s="170"/>
      <c r="E55" s="147"/>
      <c r="F55" s="147"/>
      <c r="G55" s="147"/>
      <c r="H55" s="190"/>
      <c r="I55" s="170"/>
      <c r="J55" s="115"/>
      <c r="K55" s="115"/>
      <c r="L55" s="72"/>
      <c r="M55" s="115"/>
      <c r="N55" s="72"/>
      <c r="O55" s="115"/>
      <c r="R55" s="97"/>
      <c r="V55" s="57"/>
    </row>
    <row r="56" spans="2:22" ht="12.75">
      <c r="B56" s="196"/>
      <c r="C56" s="196"/>
      <c r="D56" s="170"/>
      <c r="E56" s="147"/>
      <c r="F56" s="147"/>
      <c r="G56" s="147"/>
      <c r="H56" s="190"/>
      <c r="I56" s="170"/>
      <c r="J56" s="115"/>
      <c r="K56" s="115"/>
      <c r="L56" s="72"/>
      <c r="M56" s="115"/>
      <c r="N56" s="72"/>
      <c r="O56" s="115"/>
      <c r="R56" s="97"/>
      <c r="V56" s="57"/>
    </row>
    <row r="57" spans="2:22" ht="12.75" customHeight="1">
      <c r="B57" s="197" t="s">
        <v>6</v>
      </c>
      <c r="C57" s="197"/>
      <c r="D57" s="197"/>
      <c r="E57" s="197"/>
      <c r="F57" s="197"/>
      <c r="G57" s="197"/>
      <c r="H57" s="121">
        <f>SUM(H45:H56)</f>
        <v>3120.3332159999995</v>
      </c>
      <c r="I57" s="170"/>
      <c r="J57" s="115"/>
      <c r="K57" s="115"/>
      <c r="L57" s="72"/>
      <c r="M57" s="115"/>
      <c r="N57" s="72"/>
      <c r="O57" s="115"/>
      <c r="R57" s="97"/>
      <c r="V57" s="57"/>
    </row>
    <row r="58" spans="2:22" ht="12.75" customHeight="1">
      <c r="B58" s="186" t="s">
        <v>719</v>
      </c>
      <c r="C58" s="186"/>
      <c r="D58" s="186"/>
      <c r="E58" s="186"/>
      <c r="F58" s="186"/>
      <c r="G58" s="186"/>
      <c r="H58" s="186"/>
      <c r="I58" s="170"/>
      <c r="J58" s="115"/>
      <c r="K58" s="115"/>
      <c r="L58" s="72"/>
      <c r="M58" s="115"/>
      <c r="N58" s="72"/>
      <c r="O58" s="115"/>
      <c r="R58" s="97"/>
      <c r="V58" s="57"/>
    </row>
    <row r="59" spans="2:22" ht="12.75">
      <c r="B59" s="145" t="s">
        <v>710</v>
      </c>
      <c r="C59" s="145"/>
      <c r="D59" s="146" t="s">
        <v>542</v>
      </c>
      <c r="E59" s="165"/>
      <c r="F59" s="146" t="s">
        <v>607</v>
      </c>
      <c r="G59" s="165" t="s">
        <v>688</v>
      </c>
      <c r="H59" s="169" t="s">
        <v>6</v>
      </c>
      <c r="I59" s="170"/>
      <c r="J59" s="115"/>
      <c r="K59" s="115"/>
      <c r="L59" s="72"/>
      <c r="M59" s="115"/>
      <c r="N59" s="72"/>
      <c r="O59" s="115"/>
      <c r="R59" s="97"/>
      <c r="V59" s="57"/>
    </row>
    <row r="60" spans="2:22" ht="12.75">
      <c r="B60" s="191" t="s">
        <v>313</v>
      </c>
      <c r="C60" s="191"/>
      <c r="D60" s="192" t="s">
        <v>720</v>
      </c>
      <c r="E60" s="198"/>
      <c r="F60" s="198">
        <v>23</v>
      </c>
      <c r="G60" s="199">
        <f>Retail_Prices!H78</f>
        <v>19.5624</v>
      </c>
      <c r="H60" s="200">
        <f>F60*G60</f>
        <v>449.9352</v>
      </c>
      <c r="J60" s="115"/>
      <c r="K60" s="115"/>
      <c r="L60" s="72"/>
      <c r="M60" s="115"/>
      <c r="N60" s="72"/>
      <c r="O60" s="115"/>
      <c r="R60" s="97"/>
      <c r="V60" s="57"/>
    </row>
    <row r="61" spans="2:22" ht="12.75">
      <c r="B61" s="191" t="s">
        <v>324</v>
      </c>
      <c r="C61" s="191"/>
      <c r="D61" s="192" t="s">
        <v>721</v>
      </c>
      <c r="E61" s="198"/>
      <c r="F61" s="198">
        <v>26</v>
      </c>
      <c r="G61" s="199">
        <f>Retail_Prices!H78</f>
        <v>19.5624</v>
      </c>
      <c r="H61" s="200">
        <f>F61*G61</f>
        <v>508.6224</v>
      </c>
      <c r="J61" s="115"/>
      <c r="K61" s="115"/>
      <c r="L61" s="72"/>
      <c r="M61" s="115"/>
      <c r="N61" s="72"/>
      <c r="O61" s="115"/>
      <c r="R61" s="97"/>
      <c r="V61" s="57"/>
    </row>
    <row r="62" spans="1:22" ht="12.75">
      <c r="A62" s="170"/>
      <c r="B62" s="187"/>
      <c r="C62" s="187"/>
      <c r="D62" s="188"/>
      <c r="E62" s="170"/>
      <c r="F62" s="170"/>
      <c r="G62" s="170"/>
      <c r="H62" s="201"/>
      <c r="J62" s="115"/>
      <c r="K62" s="115"/>
      <c r="L62" s="72"/>
      <c r="M62" s="115"/>
      <c r="N62" s="72"/>
      <c r="O62" s="115"/>
      <c r="R62" s="97"/>
      <c r="V62" s="57"/>
    </row>
    <row r="63" spans="1:22" ht="12.75">
      <c r="A63" s="170"/>
      <c r="B63" s="187"/>
      <c r="C63" s="187"/>
      <c r="D63" s="188"/>
      <c r="E63" s="170"/>
      <c r="F63" s="170"/>
      <c r="G63" s="170"/>
      <c r="H63" s="201"/>
      <c r="J63" s="115"/>
      <c r="K63" s="115"/>
      <c r="L63" s="72"/>
      <c r="M63" s="115"/>
      <c r="N63" s="72"/>
      <c r="O63" s="115"/>
      <c r="R63" s="97"/>
      <c r="V63" s="57"/>
    </row>
    <row r="64" spans="1:22" ht="12.75">
      <c r="A64" s="170"/>
      <c r="B64" s="196"/>
      <c r="C64" s="196"/>
      <c r="D64" s="170"/>
      <c r="E64" s="170"/>
      <c r="F64" s="170"/>
      <c r="G64" s="170"/>
      <c r="H64" s="201"/>
      <c r="J64" s="115"/>
      <c r="K64" s="115"/>
      <c r="L64" s="72"/>
      <c r="M64" s="115"/>
      <c r="N64" s="72"/>
      <c r="O64" s="115"/>
      <c r="R64" s="97"/>
      <c r="V64" s="57"/>
    </row>
    <row r="65" spans="1:22" ht="12.75">
      <c r="A65" s="170"/>
      <c r="B65" s="202" t="s">
        <v>6</v>
      </c>
      <c r="C65" s="202"/>
      <c r="D65" s="202"/>
      <c r="E65" s="202"/>
      <c r="F65" s="202"/>
      <c r="G65" s="202"/>
      <c r="H65" s="203">
        <f>SUM(H60:H64)</f>
        <v>958.5576000000001</v>
      </c>
      <c r="J65" s="115"/>
      <c r="K65" s="115"/>
      <c r="L65" s="72"/>
      <c r="M65" s="115"/>
      <c r="N65" s="72"/>
      <c r="O65" s="115"/>
      <c r="R65" s="97"/>
      <c r="V65" s="57"/>
    </row>
    <row r="66" spans="8:22" ht="12.75">
      <c r="H66" s="22"/>
      <c r="J66" s="57"/>
      <c r="K66" s="57"/>
      <c r="L66" s="57"/>
      <c r="M66" s="57"/>
      <c r="N66" s="57"/>
      <c r="O66" s="57"/>
      <c r="P66" s="22"/>
      <c r="R66" s="97"/>
      <c r="S66" s="22"/>
      <c r="V66" s="57"/>
    </row>
    <row r="67" spans="10:22" ht="12.75">
      <c r="J67" s="115"/>
      <c r="K67" s="115"/>
      <c r="L67" s="72"/>
      <c r="M67" s="115"/>
      <c r="N67" s="72"/>
      <c r="O67" s="115"/>
      <c r="R67" s="97"/>
      <c r="S67" s="22"/>
      <c r="V67" s="57"/>
    </row>
    <row r="68" spans="2:22" ht="12.75">
      <c r="B68" s="98" t="s">
        <v>722</v>
      </c>
      <c r="C68" s="98"/>
      <c r="D68" s="98"/>
      <c r="E68" s="98"/>
      <c r="F68" s="98"/>
      <c r="G68" s="98"/>
      <c r="H68" s="98"/>
      <c r="J68" s="160"/>
      <c r="K68" s="160"/>
      <c r="L68" s="161"/>
      <c r="M68" s="160"/>
      <c r="N68" s="161"/>
      <c r="O68" s="160"/>
      <c r="R68" s="97"/>
      <c r="S68" s="22"/>
      <c r="V68" s="57"/>
    </row>
    <row r="69" spans="2:22" ht="12.75">
      <c r="B69" s="204" t="s">
        <v>560</v>
      </c>
      <c r="C69" s="205" t="s">
        <v>723</v>
      </c>
      <c r="D69" s="205" t="s">
        <v>613</v>
      </c>
      <c r="E69" s="205" t="s">
        <v>724</v>
      </c>
      <c r="F69" s="205" t="s">
        <v>725</v>
      </c>
      <c r="G69" s="205" t="s">
        <v>639</v>
      </c>
      <c r="H69" s="206" t="s">
        <v>6</v>
      </c>
      <c r="J69" s="160"/>
      <c r="K69" s="160"/>
      <c r="L69" s="160"/>
      <c r="M69" s="160"/>
      <c r="N69" s="161"/>
      <c r="O69" s="160"/>
      <c r="R69" s="97"/>
      <c r="S69" s="22"/>
      <c r="V69" s="57"/>
    </row>
    <row r="70" spans="2:22" ht="12.75">
      <c r="B70" s="74" t="s">
        <v>726</v>
      </c>
      <c r="C70" s="107" t="s">
        <v>727</v>
      </c>
      <c r="D70" s="107" t="s">
        <v>728</v>
      </c>
      <c r="E70" s="128"/>
      <c r="F70" s="128"/>
      <c r="G70" s="75"/>
      <c r="H70" s="131">
        <v>4474</v>
      </c>
      <c r="J70" s="160"/>
      <c r="K70" s="160"/>
      <c r="L70" s="160"/>
      <c r="M70" s="160"/>
      <c r="N70" s="161"/>
      <c r="O70" s="160"/>
      <c r="R70" s="97"/>
      <c r="V70" s="57"/>
    </row>
    <row r="71" spans="2:22" ht="12.75">
      <c r="B71" s="74" t="s">
        <v>729</v>
      </c>
      <c r="C71" s="107" t="s">
        <v>730</v>
      </c>
      <c r="D71" s="129">
        <v>17</v>
      </c>
      <c r="E71" s="129">
        <f>8*2</f>
        <v>16</v>
      </c>
      <c r="F71" s="129">
        <f>E71*D71*1.15</f>
        <v>312.79999999999995</v>
      </c>
      <c r="G71" s="130">
        <f>Retail_Prices!$H$60</f>
        <v>2.82568</v>
      </c>
      <c r="H71" s="131">
        <f>F71*G71</f>
        <v>883.8727039999999</v>
      </c>
      <c r="J71" s="160"/>
      <c r="K71" s="160"/>
      <c r="L71" s="160"/>
      <c r="M71" s="160"/>
      <c r="N71" s="161"/>
      <c r="O71" s="160"/>
      <c r="R71" s="97"/>
      <c r="V71" s="57"/>
    </row>
    <row r="72" spans="2:22" ht="12.75">
      <c r="B72" s="74" t="s">
        <v>731</v>
      </c>
      <c r="C72" s="107" t="s">
        <v>732</v>
      </c>
      <c r="D72" s="129" t="s">
        <v>733</v>
      </c>
      <c r="E72" s="129"/>
      <c r="F72" s="129">
        <f>100*1.15</f>
        <v>114.99999999999999</v>
      </c>
      <c r="G72" s="130">
        <f>Retail_Prices!$H$27</f>
        <v>1.2652163333333333</v>
      </c>
      <c r="H72" s="131">
        <f>F72*G72</f>
        <v>145.4998783333333</v>
      </c>
      <c r="J72" s="115"/>
      <c r="K72" s="115"/>
      <c r="L72" s="70"/>
      <c r="M72" s="70"/>
      <c r="N72" s="70"/>
      <c r="O72" s="70"/>
      <c r="R72" s="97"/>
      <c r="S72" s="57"/>
      <c r="T72" s="57"/>
      <c r="U72" s="57"/>
      <c r="V72" s="57"/>
    </row>
    <row r="73" spans="2:19" ht="12.75">
      <c r="B73" s="74" t="s">
        <v>734</v>
      </c>
      <c r="C73" s="107" t="s">
        <v>730</v>
      </c>
      <c r="D73" s="129" t="s">
        <v>733</v>
      </c>
      <c r="E73" s="128">
        <f>9*4</f>
        <v>36</v>
      </c>
      <c r="F73" s="128">
        <f>(E73*17/2)*1.15</f>
        <v>351.9</v>
      </c>
      <c r="G73" s="130">
        <f>Retail_Prices!$H$60</f>
        <v>2.82568</v>
      </c>
      <c r="H73" s="131">
        <f>F73*G73</f>
        <v>994.356792</v>
      </c>
      <c r="J73" s="96"/>
      <c r="K73" s="96"/>
      <c r="L73" s="96"/>
      <c r="M73" s="96"/>
      <c r="N73" s="96"/>
      <c r="O73" s="96"/>
      <c r="S73" s="22"/>
    </row>
    <row r="74" spans="2:8" ht="12.75">
      <c r="B74" s="74" t="s">
        <v>735</v>
      </c>
      <c r="C74" s="107" t="s">
        <v>730</v>
      </c>
      <c r="D74" s="129" t="s">
        <v>736</v>
      </c>
      <c r="E74" s="129">
        <f>15*2</f>
        <v>30</v>
      </c>
      <c r="F74" s="129">
        <f>E74*20*1.15</f>
        <v>690</v>
      </c>
      <c r="G74" s="130">
        <f>Retail_Prices!$H$60</f>
        <v>2.82568</v>
      </c>
      <c r="H74" s="131">
        <f>F74*G74</f>
        <v>1949.7192000000002</v>
      </c>
    </row>
    <row r="75" spans="2:8" ht="12.75">
      <c r="B75" s="74" t="s">
        <v>737</v>
      </c>
      <c r="C75" s="107" t="s">
        <v>730</v>
      </c>
      <c r="D75" s="129" t="s">
        <v>733</v>
      </c>
      <c r="E75" s="129">
        <f>8*4</f>
        <v>32</v>
      </c>
      <c r="F75" s="129">
        <f>(17*E75/2)*1.15</f>
        <v>312.79999999999995</v>
      </c>
      <c r="G75" s="130">
        <f>Retail_Prices!$H$60</f>
        <v>2.82568</v>
      </c>
      <c r="H75" s="131">
        <f>F75*G75</f>
        <v>883.8727039999999</v>
      </c>
    </row>
    <row r="76" spans="2:8" ht="12.75">
      <c r="B76" s="74" t="s">
        <v>738</v>
      </c>
      <c r="C76" s="107" t="s">
        <v>730</v>
      </c>
      <c r="D76" s="129" t="s">
        <v>736</v>
      </c>
      <c r="E76" s="129">
        <f>15*2</f>
        <v>30</v>
      </c>
      <c r="F76" s="129">
        <f>20*E76*1.15</f>
        <v>690</v>
      </c>
      <c r="G76" s="130">
        <f>Retail_Prices!$H$60</f>
        <v>2.82568</v>
      </c>
      <c r="H76" s="131">
        <f>F76*G76</f>
        <v>1949.7192000000002</v>
      </c>
    </row>
    <row r="77" spans="2:8" ht="12.75">
      <c r="B77" s="74" t="s">
        <v>739</v>
      </c>
      <c r="C77" s="107" t="s">
        <v>740</v>
      </c>
      <c r="D77" s="129" t="s">
        <v>733</v>
      </c>
      <c r="E77" s="129">
        <f>4*2</f>
        <v>8</v>
      </c>
      <c r="F77" s="129">
        <f>(7*E77/2)*1.15</f>
        <v>32.199999999999996</v>
      </c>
      <c r="G77" s="130">
        <f>Retail_Prices!$H$21</f>
        <v>0.8509644</v>
      </c>
      <c r="H77" s="131">
        <f>F77*G77</f>
        <v>27.401053679999993</v>
      </c>
    </row>
    <row r="78" spans="2:8" ht="12.75">
      <c r="B78" s="207" t="s">
        <v>741</v>
      </c>
      <c r="C78" s="208" t="s">
        <v>740</v>
      </c>
      <c r="D78" s="209" t="s">
        <v>733</v>
      </c>
      <c r="E78" s="209">
        <v>18</v>
      </c>
      <c r="F78" s="209">
        <f>8*E78*1.15</f>
        <v>165.6</v>
      </c>
      <c r="G78" s="210">
        <f>Retail_Prices!$H$21</f>
        <v>0.8509644</v>
      </c>
      <c r="H78" s="211">
        <f>F78*G78</f>
        <v>140.91970464</v>
      </c>
    </row>
    <row r="79" spans="2:8" ht="12.75">
      <c r="B79" s="207" t="s">
        <v>742</v>
      </c>
      <c r="C79" s="208" t="s">
        <v>743</v>
      </c>
      <c r="D79" s="209"/>
      <c r="E79" s="209">
        <v>4</v>
      </c>
      <c r="F79" s="209">
        <f>E79*12*1.15</f>
        <v>55.199999999999996</v>
      </c>
      <c r="G79" s="210">
        <f>Retail_Prices!$H$21</f>
        <v>0.8509644</v>
      </c>
      <c r="H79" s="211">
        <f>F79*G79</f>
        <v>46.97323487999999</v>
      </c>
    </row>
    <row r="80" spans="2:8" ht="12.75">
      <c r="B80" s="207" t="s">
        <v>744</v>
      </c>
      <c r="C80" s="208" t="s">
        <v>743</v>
      </c>
      <c r="D80" s="209"/>
      <c r="E80" s="170"/>
      <c r="F80" s="209">
        <f>35*1.15</f>
        <v>40.25</v>
      </c>
      <c r="G80" s="210">
        <f>Retail_Prices!$H$21</f>
        <v>0.8509644</v>
      </c>
      <c r="H80" s="211">
        <f>F80*G80</f>
        <v>34.2513171</v>
      </c>
    </row>
    <row r="81" spans="2:8" ht="12.75">
      <c r="B81" s="207" t="s">
        <v>745</v>
      </c>
      <c r="C81" s="208" t="s">
        <v>746</v>
      </c>
      <c r="D81" s="209">
        <v>4</v>
      </c>
      <c r="E81" s="209">
        <f>19*2+19*2</f>
        <v>76</v>
      </c>
      <c r="F81" s="209">
        <f>D81*E81*1.15</f>
        <v>349.59999999999997</v>
      </c>
      <c r="G81" s="210">
        <f>Retail_Prices!$H$16</f>
        <v>4.140708</v>
      </c>
      <c r="H81" s="211">
        <f>F81*G81</f>
        <v>1447.5915168</v>
      </c>
    </row>
    <row r="82" spans="2:8" ht="12.75">
      <c r="B82" s="207" t="s">
        <v>747</v>
      </c>
      <c r="C82" s="208" t="s">
        <v>746</v>
      </c>
      <c r="D82" s="212">
        <v>3</v>
      </c>
      <c r="E82" s="212">
        <v>32</v>
      </c>
      <c r="F82" s="212">
        <f>D82*E82*1.15</f>
        <v>110.39999999999999</v>
      </c>
      <c r="G82" s="210">
        <f>Retail_Prices!$H$16</f>
        <v>4.140708</v>
      </c>
      <c r="H82" s="211">
        <f>F82*G82</f>
        <v>457.1341632</v>
      </c>
    </row>
    <row r="83" spans="2:8" ht="12.75">
      <c r="B83" s="207" t="s">
        <v>748</v>
      </c>
      <c r="C83" s="213" t="s">
        <v>749</v>
      </c>
      <c r="D83" s="212"/>
      <c r="E83" s="212"/>
      <c r="F83" s="212">
        <f>(100*2+52*2*2+6*40+16*2*2)*1.15</f>
        <v>818.8</v>
      </c>
      <c r="G83" s="214">
        <f>Retail_Prices!$H$118</f>
        <v>1.8842394999999998</v>
      </c>
      <c r="H83" s="211">
        <f>F83*G83</f>
        <v>1542.8153025999998</v>
      </c>
    </row>
    <row r="84" spans="2:8" ht="12.75">
      <c r="B84" s="207" t="s">
        <v>750</v>
      </c>
      <c r="C84" s="213" t="s">
        <v>751</v>
      </c>
      <c r="D84" s="212"/>
      <c r="E84" s="212"/>
      <c r="F84" s="212">
        <f>264*1.15</f>
        <v>303.59999999999997</v>
      </c>
      <c r="G84" s="214">
        <f>Retail_Prices!$H$42</f>
        <v>2.8763973333333333</v>
      </c>
      <c r="H84" s="211">
        <f>F84*G84</f>
        <v>873.2742303999999</v>
      </c>
    </row>
    <row r="85" spans="2:8" ht="12.75">
      <c r="B85" s="207" t="s">
        <v>752</v>
      </c>
      <c r="C85" s="208" t="s">
        <v>743</v>
      </c>
      <c r="D85" s="212"/>
      <c r="E85" s="212"/>
      <c r="F85" s="212">
        <f>(100*2+62*2+22*2+32)*1.2</f>
        <v>480</v>
      </c>
      <c r="G85" s="210">
        <f>Retail_Prices!$H$21</f>
        <v>0.8509644</v>
      </c>
      <c r="H85" s="211">
        <f>F85*G85</f>
        <v>408.46291199999996</v>
      </c>
    </row>
    <row r="86" spans="2:8" ht="12.75">
      <c r="B86" s="207"/>
      <c r="C86" s="213"/>
      <c r="D86" s="212"/>
      <c r="E86" s="212"/>
      <c r="F86" s="212"/>
      <c r="G86" s="214"/>
      <c r="H86" s="211"/>
    </row>
    <row r="87" spans="2:8" ht="12.75">
      <c r="B87" s="197" t="s">
        <v>6</v>
      </c>
      <c r="C87" s="197"/>
      <c r="D87" s="197"/>
      <c r="E87" s="197"/>
      <c r="F87" s="197"/>
      <c r="G87" s="197"/>
      <c r="H87" s="121">
        <f>SUM(H70:H86)</f>
        <v>16259.863913633333</v>
      </c>
    </row>
    <row r="88" spans="2:8" ht="12.75">
      <c r="B88" s="98" t="s">
        <v>753</v>
      </c>
      <c r="C88" s="98"/>
      <c r="D88" s="98"/>
      <c r="E88" s="98"/>
      <c r="F88" s="98"/>
      <c r="G88" s="98"/>
      <c r="H88" s="98"/>
    </row>
    <row r="89" spans="2:8" ht="12.75">
      <c r="B89" s="125" t="s">
        <v>542</v>
      </c>
      <c r="C89" s="126" t="s">
        <v>542</v>
      </c>
      <c r="D89" s="2"/>
      <c r="E89" s="126" t="s">
        <v>754</v>
      </c>
      <c r="F89" s="126"/>
      <c r="G89" s="126" t="s">
        <v>639</v>
      </c>
      <c r="H89" s="127" t="s">
        <v>6</v>
      </c>
    </row>
    <row r="90" spans="2:8" ht="12.75">
      <c r="B90" s="42" t="s">
        <v>755</v>
      </c>
      <c r="C90" s="45" t="s">
        <v>756</v>
      </c>
      <c r="E90" s="72">
        <f>4567*1.15</f>
        <v>5252.049999999999</v>
      </c>
      <c r="F90" s="72"/>
      <c r="G90" s="117">
        <f>Retail_Prices!$H$49</f>
        <v>0.860949375</v>
      </c>
      <c r="H90" s="180">
        <f>E90*G90</f>
        <v>4521.749164968749</v>
      </c>
    </row>
    <row r="91" spans="2:8" ht="12.75">
      <c r="B91" s="42" t="s">
        <v>755</v>
      </c>
      <c r="C91" t="s">
        <v>757</v>
      </c>
      <c r="E91" s="72">
        <f>(30*8+278+6*36*2)*1.15</f>
        <v>1092.5</v>
      </c>
      <c r="F91" s="72"/>
      <c r="G91" s="117">
        <f>Retail_Prices!$H$49</f>
        <v>0.860949375</v>
      </c>
      <c r="H91" s="180">
        <f>E91*G91</f>
        <v>940.5871921875</v>
      </c>
    </row>
    <row r="92" spans="2:8" ht="12.75">
      <c r="B92" s="42" t="s">
        <v>755</v>
      </c>
      <c r="C92" t="s">
        <v>758</v>
      </c>
      <c r="E92" s="72">
        <f>645*1.15</f>
        <v>741.7499999999999</v>
      </c>
      <c r="F92" s="72"/>
      <c r="G92" s="117">
        <f>Retail_Prices!$H$49</f>
        <v>0.860949375</v>
      </c>
      <c r="H92" s="180">
        <f>E92*G92</f>
        <v>638.60919890625</v>
      </c>
    </row>
    <row r="93" spans="2:8" ht="12.75">
      <c r="B93" s="42" t="s">
        <v>755</v>
      </c>
      <c r="C93" t="s">
        <v>759</v>
      </c>
      <c r="E93" s="72">
        <f>645*1.15</f>
        <v>741.7499999999999</v>
      </c>
      <c r="F93" s="72"/>
      <c r="G93" s="117">
        <f>Retail_Prices!$H$49</f>
        <v>0.860949375</v>
      </c>
      <c r="H93" s="180">
        <f>E93*G93</f>
        <v>638.60919890625</v>
      </c>
    </row>
    <row r="94" spans="2:8" ht="12.75">
      <c r="B94" s="42" t="s">
        <v>699</v>
      </c>
      <c r="C94" t="s">
        <v>760</v>
      </c>
      <c r="E94" s="72">
        <f>SUM(E90:E93)</f>
        <v>7828.049999999999</v>
      </c>
      <c r="F94" s="72"/>
      <c r="G94" s="117">
        <f>Retail_Prices!$H$120</f>
        <v>0.0048664488888888885</v>
      </c>
      <c r="H94" s="180">
        <f>E94*G94</f>
        <v>38.09480522466666</v>
      </c>
    </row>
    <row r="95" spans="2:8" ht="12.75">
      <c r="B95" s="42" t="s">
        <v>761</v>
      </c>
      <c r="C95" t="s">
        <v>753</v>
      </c>
      <c r="E95" s="22">
        <f>(SUM(E90:E93)/32)*8*1.15</f>
        <v>2250.5643749999995</v>
      </c>
      <c r="G95" s="215">
        <f>Retail_Prices!$H$53</f>
        <v>0.17106232</v>
      </c>
      <c r="H95" s="180">
        <f>E95*G95</f>
        <v>384.9867632968499</v>
      </c>
    </row>
    <row r="96" spans="2:8" ht="12.75">
      <c r="B96" s="42"/>
      <c r="G96" s="12"/>
      <c r="H96" s="56"/>
    </row>
    <row r="97" spans="2:8" ht="12.75">
      <c r="B97" s="197" t="s">
        <v>6</v>
      </c>
      <c r="C97" s="197"/>
      <c r="D97" s="197"/>
      <c r="E97" s="197"/>
      <c r="F97" s="197"/>
      <c r="G97" s="197"/>
      <c r="H97" s="121">
        <f>SUM(H90:H96)</f>
        <v>7162.636323490266</v>
      </c>
    </row>
    <row r="98" spans="2:8" ht="12.75">
      <c r="B98" s="98" t="s">
        <v>719</v>
      </c>
      <c r="C98" s="98"/>
      <c r="D98" s="98"/>
      <c r="E98" s="98"/>
      <c r="F98" s="98"/>
      <c r="G98" s="98"/>
      <c r="H98" s="98"/>
    </row>
    <row r="99" spans="2:8" ht="12.75">
      <c r="B99" s="216" t="s">
        <v>762</v>
      </c>
      <c r="C99" s="217" t="s">
        <v>711</v>
      </c>
      <c r="D99" s="147" t="s">
        <v>763</v>
      </c>
      <c r="E99" s="217" t="s">
        <v>607</v>
      </c>
      <c r="F99" s="217" t="s">
        <v>764</v>
      </c>
      <c r="G99" s="217" t="s">
        <v>765</v>
      </c>
      <c r="H99" s="218" t="s">
        <v>6</v>
      </c>
    </row>
    <row r="100" spans="2:8" ht="12.75">
      <c r="B100" s="82" t="s">
        <v>766</v>
      </c>
      <c r="C100" s="170" t="s">
        <v>767</v>
      </c>
      <c r="D100" s="147">
        <v>5.5</v>
      </c>
      <c r="E100" s="147">
        <v>4</v>
      </c>
      <c r="F100" s="147">
        <f>D100*E100</f>
        <v>22</v>
      </c>
      <c r="G100" s="148">
        <f>Retail_Prices!$H$37</f>
        <v>3.6407800000000003</v>
      </c>
      <c r="H100" s="219">
        <f>F100*G100</f>
        <v>80.09716</v>
      </c>
    </row>
    <row r="101" spans="2:8" ht="12.75">
      <c r="B101" s="220" t="s">
        <v>768</v>
      </c>
      <c r="C101" s="198" t="s">
        <v>769</v>
      </c>
      <c r="D101" s="193">
        <v>19</v>
      </c>
      <c r="E101" s="193">
        <v>2</v>
      </c>
      <c r="F101" s="193">
        <f>D101*E101</f>
        <v>38</v>
      </c>
      <c r="G101" s="138">
        <f>Retail_Prices!$H$74</f>
        <v>23.31186</v>
      </c>
      <c r="H101" s="221">
        <f>F101*G101</f>
        <v>885.85068</v>
      </c>
    </row>
    <row r="102" spans="2:8" ht="12.75">
      <c r="B102" s="82" t="s">
        <v>770</v>
      </c>
      <c r="C102" s="170" t="s">
        <v>767</v>
      </c>
      <c r="D102" s="147">
        <v>5</v>
      </c>
      <c r="E102" s="147">
        <v>2</v>
      </c>
      <c r="F102" s="147">
        <f>D102*E102</f>
        <v>10</v>
      </c>
      <c r="G102" s="148">
        <f>Retail_Prices!$H$37</f>
        <v>3.6407800000000003</v>
      </c>
      <c r="H102" s="219">
        <f>F102*G102</f>
        <v>36.4078</v>
      </c>
    </row>
    <row r="103" spans="2:8" ht="12.75">
      <c r="B103" s="220" t="s">
        <v>359</v>
      </c>
      <c r="C103" s="222" t="s">
        <v>771</v>
      </c>
      <c r="D103" s="193">
        <v>49.2</v>
      </c>
      <c r="E103" s="193">
        <v>1</v>
      </c>
      <c r="F103" s="193">
        <f>D103*E103</f>
        <v>49.2</v>
      </c>
      <c r="G103" s="138">
        <f>Retail_Prices!$H$75</f>
        <v>28.691519999999997</v>
      </c>
      <c r="H103" s="221">
        <f>F103*G103</f>
        <v>1411.622784</v>
      </c>
    </row>
    <row r="104" spans="2:8" ht="12.75">
      <c r="B104" s="82" t="s">
        <v>772</v>
      </c>
      <c r="C104" s="170" t="s">
        <v>773</v>
      </c>
      <c r="D104" s="147">
        <v>29</v>
      </c>
      <c r="E104" s="147">
        <f>4*3</f>
        <v>12</v>
      </c>
      <c r="F104" s="147">
        <f>D104*E104</f>
        <v>348</v>
      </c>
      <c r="G104" s="148">
        <f>Retail_Prices!$H$67</f>
        <v>8.237944</v>
      </c>
      <c r="H104" s="219">
        <f>F104*G104</f>
        <v>2866.804512</v>
      </c>
    </row>
    <row r="105" spans="2:8" ht="12.75">
      <c r="B105" s="220" t="s">
        <v>378</v>
      </c>
      <c r="C105" s="192" t="s">
        <v>774</v>
      </c>
      <c r="D105" s="193">
        <v>23.3</v>
      </c>
      <c r="E105" s="193">
        <v>1</v>
      </c>
      <c r="F105" s="193">
        <f>D105*E105</f>
        <v>23.3</v>
      </c>
      <c r="G105" s="138">
        <f>Retail_Prices!$H$79</f>
        <v>32.604</v>
      </c>
      <c r="H105" s="221">
        <f>F105*G105</f>
        <v>759.6732</v>
      </c>
    </row>
    <row r="106" spans="2:8" ht="12.75">
      <c r="B106" s="220" t="s">
        <v>775</v>
      </c>
      <c r="C106" s="192" t="s">
        <v>776</v>
      </c>
      <c r="D106" s="193">
        <v>30</v>
      </c>
      <c r="E106" s="193">
        <v>1</v>
      </c>
      <c r="F106" s="193">
        <f>D106*E106</f>
        <v>30</v>
      </c>
      <c r="G106" s="138">
        <f>Retail_Prices!$H$80</f>
        <v>54.34</v>
      </c>
      <c r="H106" s="221">
        <f>F106*G106</f>
        <v>1630.2</v>
      </c>
    </row>
    <row r="107" spans="2:8" ht="12.75">
      <c r="B107" s="220" t="s">
        <v>418</v>
      </c>
      <c r="C107" s="192" t="s">
        <v>776</v>
      </c>
      <c r="D107" s="193">
        <v>13</v>
      </c>
      <c r="E107" s="193">
        <v>1</v>
      </c>
      <c r="F107" s="193">
        <f>D107*E107</f>
        <v>13</v>
      </c>
      <c r="G107" s="138">
        <f>Retail_Prices!$H$80</f>
        <v>54.34</v>
      </c>
      <c r="H107" s="221">
        <f>F107*G107</f>
        <v>706.4200000000001</v>
      </c>
    </row>
    <row r="108" spans="2:8" ht="12.75">
      <c r="B108" s="220" t="s">
        <v>777</v>
      </c>
      <c r="C108" s="192" t="s">
        <v>774</v>
      </c>
      <c r="D108" s="193">
        <v>30</v>
      </c>
      <c r="E108" s="193">
        <v>1</v>
      </c>
      <c r="F108" s="193">
        <f>D108*E108</f>
        <v>30</v>
      </c>
      <c r="G108" s="138">
        <f>Retail_Prices!$H$79</f>
        <v>32.604</v>
      </c>
      <c r="H108" s="221">
        <f>F108*G108</f>
        <v>978.12</v>
      </c>
    </row>
    <row r="109" spans="2:8" ht="12.75">
      <c r="B109" s="82" t="s">
        <v>778</v>
      </c>
      <c r="C109" s="170" t="s">
        <v>767</v>
      </c>
      <c r="D109" s="147">
        <v>7</v>
      </c>
      <c r="E109" s="147">
        <v>2</v>
      </c>
      <c r="F109" s="147">
        <f>D109*E109</f>
        <v>14</v>
      </c>
      <c r="G109" s="148">
        <f>Retail_Prices!$H$37</f>
        <v>3.6407800000000003</v>
      </c>
      <c r="H109" s="219">
        <f>F109*G109</f>
        <v>50.97092000000001</v>
      </c>
    </row>
    <row r="110" spans="2:8" ht="12.75">
      <c r="B110" s="82" t="s">
        <v>446</v>
      </c>
      <c r="C110" s="170" t="s">
        <v>767</v>
      </c>
      <c r="D110" s="147">
        <v>28</v>
      </c>
      <c r="E110" s="147">
        <v>1</v>
      </c>
      <c r="F110" s="147">
        <f>D110*E110</f>
        <v>28</v>
      </c>
      <c r="G110" s="148">
        <f>Retail_Prices!$H$37</f>
        <v>3.6407800000000003</v>
      </c>
      <c r="H110" s="219">
        <f>F110*G110</f>
        <v>101.94184000000001</v>
      </c>
    </row>
    <row r="111" spans="2:8" ht="12.75">
      <c r="B111" s="82"/>
      <c r="C111" s="170"/>
      <c r="D111" s="147"/>
      <c r="E111" s="147"/>
      <c r="F111" s="147"/>
      <c r="G111" s="148"/>
      <c r="H111" s="219"/>
    </row>
    <row r="112" spans="1:8" ht="12.75">
      <c r="A112" s="170"/>
      <c r="B112" s="82"/>
      <c r="C112" s="170"/>
      <c r="D112" s="147"/>
      <c r="E112" s="147"/>
      <c r="F112" s="147"/>
      <c r="G112" s="148"/>
      <c r="H112" s="219"/>
    </row>
    <row r="113" spans="1:8" ht="12.75">
      <c r="A113" s="170"/>
      <c r="B113" s="202" t="s">
        <v>6</v>
      </c>
      <c r="C113" s="202"/>
      <c r="D113" s="202"/>
      <c r="E113" s="202"/>
      <c r="F113" s="202"/>
      <c r="G113" s="202"/>
      <c r="H113" s="203">
        <f>SUM(H100:H112)</f>
        <v>9508.108896</v>
      </c>
    </row>
    <row r="114" spans="1:8" ht="12.75">
      <c r="A114" s="170"/>
      <c r="B114" s="170"/>
      <c r="C114" s="170"/>
      <c r="D114" s="170"/>
      <c r="E114" s="170"/>
      <c r="F114" s="170"/>
      <c r="G114" s="170"/>
      <c r="H114" s="170"/>
    </row>
    <row r="115" spans="1:8" ht="12.75">
      <c r="A115" s="170"/>
      <c r="B115" s="223" t="s">
        <v>667</v>
      </c>
      <c r="C115" s="223"/>
      <c r="D115" s="223"/>
      <c r="E115" s="223"/>
      <c r="F115" s="223"/>
      <c r="G115" s="223"/>
      <c r="H115" s="223"/>
    </row>
    <row r="116" spans="1:8" ht="12.75">
      <c r="A116" s="170"/>
      <c r="B116" s="216" t="s">
        <v>606</v>
      </c>
      <c r="C116" s="217" t="s">
        <v>779</v>
      </c>
      <c r="D116" s="170"/>
      <c r="E116" s="217"/>
      <c r="F116" s="217" t="s">
        <v>607</v>
      </c>
      <c r="G116" s="217" t="s">
        <v>639</v>
      </c>
      <c r="H116" s="218" t="s">
        <v>6</v>
      </c>
    </row>
    <row r="117" spans="1:8" ht="12.75">
      <c r="A117" s="170"/>
      <c r="B117" s="224" t="s">
        <v>780</v>
      </c>
      <c r="C117" s="170"/>
      <c r="D117" s="170"/>
      <c r="E117" s="147"/>
      <c r="F117" s="147"/>
      <c r="G117" s="148"/>
      <c r="H117" s="219">
        <v>750</v>
      </c>
    </row>
    <row r="118" spans="1:8" ht="12.75">
      <c r="A118" s="170"/>
      <c r="B118" s="82" t="s">
        <v>781</v>
      </c>
      <c r="C118" s="170"/>
      <c r="D118" s="170"/>
      <c r="E118" s="147"/>
      <c r="F118" s="147"/>
      <c r="G118" s="148"/>
      <c r="H118" s="219">
        <v>1000</v>
      </c>
    </row>
    <row r="119" spans="1:8" ht="12.75">
      <c r="A119" s="170"/>
      <c r="B119" s="82" t="s">
        <v>782</v>
      </c>
      <c r="C119" s="170"/>
      <c r="D119" s="170"/>
      <c r="E119" s="147"/>
      <c r="F119" s="147"/>
      <c r="G119" s="148"/>
      <c r="H119" s="219">
        <v>100</v>
      </c>
    </row>
    <row r="120" spans="1:8" ht="12.75">
      <c r="A120" s="170"/>
      <c r="B120" s="82" t="s">
        <v>783</v>
      </c>
      <c r="C120" s="170"/>
      <c r="D120" s="170"/>
      <c r="E120" s="147"/>
      <c r="F120" s="147"/>
      <c r="G120" s="148"/>
      <c r="H120" s="219">
        <v>150</v>
      </c>
    </row>
    <row r="121" spans="1:8" ht="12.75">
      <c r="A121" s="170"/>
      <c r="B121" s="82" t="s">
        <v>161</v>
      </c>
      <c r="C121" s="170"/>
      <c r="D121" s="170"/>
      <c r="E121" s="147"/>
      <c r="F121" s="147"/>
      <c r="G121" s="148"/>
      <c r="H121" s="219">
        <v>250</v>
      </c>
    </row>
    <row r="122" spans="1:8" ht="12.75">
      <c r="A122" s="170"/>
      <c r="B122" s="82"/>
      <c r="C122" s="170"/>
      <c r="D122" s="170"/>
      <c r="E122" s="147"/>
      <c r="F122" s="147"/>
      <c r="G122" s="148"/>
      <c r="H122" s="219"/>
    </row>
    <row r="123" spans="1:8" ht="12.75">
      <c r="A123" s="170"/>
      <c r="B123" s="82"/>
      <c r="C123" s="170"/>
      <c r="D123" s="170"/>
      <c r="E123" s="147"/>
      <c r="F123" s="147"/>
      <c r="G123" s="148"/>
      <c r="H123" s="219"/>
    </row>
    <row r="124" spans="1:8" ht="12.75">
      <c r="A124" s="170"/>
      <c r="B124" s="202" t="s">
        <v>6</v>
      </c>
      <c r="C124" s="202"/>
      <c r="D124" s="202"/>
      <c r="E124" s="202"/>
      <c r="F124" s="202"/>
      <c r="G124" s="202"/>
      <c r="H124" s="203">
        <f>SUM(H117:H123)</f>
        <v>2250</v>
      </c>
    </row>
    <row r="125" spans="1:8" ht="12.75">
      <c r="A125" s="170"/>
      <c r="B125" s="225"/>
      <c r="C125" s="226"/>
      <c r="D125" s="226"/>
      <c r="E125" s="226"/>
      <c r="F125" s="226"/>
      <c r="G125" s="226"/>
      <c r="H125" s="227"/>
    </row>
    <row r="126" spans="1:8" ht="12.75">
      <c r="A126" s="170"/>
      <c r="B126" s="228" t="s">
        <v>6</v>
      </c>
      <c r="C126" s="228"/>
      <c r="D126" s="228"/>
      <c r="E126" s="228"/>
      <c r="F126" s="228"/>
      <c r="G126" s="228"/>
      <c r="H126" s="229">
        <f>H19+H28+H42+H57+H65+H87+H97+H113+H124</f>
        <v>51614.337930466594</v>
      </c>
    </row>
    <row r="127" spans="1:7" ht="12.75">
      <c r="A127" s="170"/>
      <c r="B127" s="160"/>
      <c r="C127" s="160"/>
      <c r="D127" s="160"/>
      <c r="E127" s="160"/>
      <c r="F127" s="160"/>
      <c r="G127" s="160"/>
    </row>
    <row r="128" spans="1:7" ht="12.75">
      <c r="A128" s="170"/>
      <c r="B128" s="160"/>
      <c r="C128" s="160"/>
      <c r="D128" s="160"/>
      <c r="E128" s="160"/>
      <c r="F128" s="160"/>
      <c r="G128" s="160"/>
    </row>
    <row r="129" spans="1:7" ht="12.75">
      <c r="A129" s="170"/>
      <c r="B129" s="160"/>
      <c r="C129" s="160"/>
      <c r="D129" s="160"/>
      <c r="E129" s="160"/>
      <c r="F129" s="160"/>
      <c r="G129" s="160"/>
    </row>
    <row r="130" spans="1:7" ht="12.75">
      <c r="A130" s="170"/>
      <c r="B130" s="160"/>
      <c r="C130" s="160"/>
      <c r="D130" s="160"/>
      <c r="E130" s="160"/>
      <c r="F130" s="160"/>
      <c r="G130" s="160"/>
    </row>
    <row r="131" ht="12.75">
      <c r="A131" s="170"/>
    </row>
    <row r="132" ht="12.75">
      <c r="A132" s="170"/>
    </row>
    <row r="133" ht="12.75">
      <c r="A133" s="170"/>
    </row>
    <row r="134" ht="12.75">
      <c r="A134" s="170"/>
    </row>
    <row r="135" ht="12.75">
      <c r="A135" s="170"/>
    </row>
    <row r="136" ht="12.75">
      <c r="A136" s="170"/>
    </row>
    <row r="137" ht="12.75">
      <c r="A137" s="170"/>
    </row>
    <row r="138" ht="12.75">
      <c r="A138" s="170"/>
    </row>
    <row r="144" spans="2:7" ht="12.75">
      <c r="B144" s="160"/>
      <c r="C144" s="160"/>
      <c r="D144" s="160"/>
      <c r="E144" s="160"/>
      <c r="F144" s="160"/>
      <c r="G144" s="160"/>
    </row>
    <row r="145" spans="2:7" ht="12.75">
      <c r="B145" s="160"/>
      <c r="C145" s="160"/>
      <c r="D145" s="160"/>
      <c r="E145" s="160"/>
      <c r="F145" s="160"/>
      <c r="G145" s="160"/>
    </row>
    <row r="146" spans="2:7" ht="12.75">
      <c r="B146" s="160"/>
      <c r="C146" s="160"/>
      <c r="D146" s="160"/>
      <c r="E146" s="160"/>
      <c r="F146" s="160"/>
      <c r="G146" s="160"/>
    </row>
    <row r="147" spans="2:7" ht="12.75">
      <c r="B147" s="160"/>
      <c r="C147" s="160"/>
      <c r="D147" s="160"/>
      <c r="E147" s="160"/>
      <c r="F147" s="160"/>
      <c r="G147" s="160"/>
    </row>
    <row r="148" spans="2:7" ht="12.75">
      <c r="B148" s="160"/>
      <c r="C148" s="160"/>
      <c r="D148" s="160"/>
      <c r="E148" s="160"/>
      <c r="F148" s="160"/>
      <c r="G148" s="160"/>
    </row>
    <row r="149" spans="2:7" ht="12.75">
      <c r="B149" s="160"/>
      <c r="C149" s="160"/>
      <c r="D149" s="160"/>
      <c r="E149" s="160"/>
      <c r="F149" s="160"/>
      <c r="G149" s="160"/>
    </row>
    <row r="150" spans="2:7" ht="12.75">
      <c r="B150" s="160"/>
      <c r="C150" s="160"/>
      <c r="D150" s="160"/>
      <c r="E150" s="160"/>
      <c r="F150" s="160"/>
      <c r="G150" s="160"/>
    </row>
    <row r="151" spans="2:7" ht="12.75">
      <c r="B151" s="160"/>
      <c r="C151" s="160"/>
      <c r="D151" s="160"/>
      <c r="E151" s="160"/>
      <c r="F151" s="160"/>
      <c r="G151" s="160"/>
    </row>
    <row r="152" spans="2:7" ht="12.75">
      <c r="B152" s="160"/>
      <c r="C152" s="160"/>
      <c r="D152" s="160"/>
      <c r="E152" s="160"/>
      <c r="F152" s="160"/>
      <c r="G152" s="160"/>
    </row>
    <row r="153" spans="2:7" ht="12.75">
      <c r="B153" s="115"/>
      <c r="C153" s="159"/>
      <c r="D153" s="159"/>
      <c r="E153" s="159"/>
      <c r="F153" s="159"/>
      <c r="G153" s="115"/>
    </row>
    <row r="154" spans="2:9" ht="12.75">
      <c r="B154" s="230" t="s">
        <v>784</v>
      </c>
      <c r="C154" s="230"/>
      <c r="D154" s="230"/>
      <c r="E154" s="230"/>
      <c r="F154" s="230"/>
      <c r="G154" s="230"/>
      <c r="H154" s="230"/>
      <c r="I154" s="230"/>
    </row>
    <row r="155" spans="2:27" ht="12.75">
      <c r="B155" s="59" t="s">
        <v>785</v>
      </c>
      <c r="C155" s="231" t="s">
        <v>786</v>
      </c>
      <c r="D155" s="231" t="s">
        <v>787</v>
      </c>
      <c r="E155" s="231" t="s">
        <v>788</v>
      </c>
      <c r="F155" s="231" t="s">
        <v>789</v>
      </c>
      <c r="G155" s="231" t="s">
        <v>790</v>
      </c>
      <c r="H155" s="231" t="s">
        <v>791</v>
      </c>
      <c r="I155" s="119" t="s">
        <v>309</v>
      </c>
      <c r="O155" s="110" t="s">
        <v>792</v>
      </c>
      <c r="P155" s="110"/>
      <c r="Q155" s="110"/>
      <c r="R155" s="110"/>
      <c r="S155" s="110"/>
      <c r="T155" s="110"/>
      <c r="U155" s="110"/>
      <c r="V155" s="110"/>
      <c r="W155" s="110"/>
      <c r="X155" s="110"/>
      <c r="Y155" s="110"/>
      <c r="Z155" s="110"/>
      <c r="AA155" s="110"/>
    </row>
    <row r="156" spans="2:27" ht="12.75" customHeight="1">
      <c r="B156" s="114" t="s">
        <v>793</v>
      </c>
      <c r="C156" s="115" t="s">
        <v>794</v>
      </c>
      <c r="D156" s="72"/>
      <c r="E156" s="115" t="s">
        <v>795</v>
      </c>
      <c r="F156" s="72" t="s">
        <v>796</v>
      </c>
      <c r="G156" s="72" t="s">
        <v>797</v>
      </c>
      <c r="H156" s="72" t="s">
        <v>798</v>
      </c>
      <c r="I156" s="113"/>
      <c r="O156" s="232" t="s">
        <v>799</v>
      </c>
      <c r="P156" s="232"/>
      <c r="Q156" s="232"/>
      <c r="R156" s="232"/>
      <c r="S156" s="232"/>
      <c r="T156" s="232"/>
      <c r="U156" s="233"/>
      <c r="V156" s="232" t="s">
        <v>800</v>
      </c>
      <c r="W156" s="232"/>
      <c r="X156" s="232"/>
      <c r="Y156" s="232"/>
      <c r="Z156" s="232"/>
      <c r="AA156" s="232"/>
    </row>
    <row r="157" spans="2:37" ht="12.75">
      <c r="B157" s="114" t="s">
        <v>801</v>
      </c>
      <c r="C157" s="115" t="s">
        <v>802</v>
      </c>
      <c r="E157" s="115" t="s">
        <v>795</v>
      </c>
      <c r="F157" s="72" t="s">
        <v>803</v>
      </c>
      <c r="G157" s="72" t="s">
        <v>804</v>
      </c>
      <c r="H157" s="72" t="s">
        <v>805</v>
      </c>
      <c r="I157" s="113"/>
      <c r="O157" s="232"/>
      <c r="P157" s="232"/>
      <c r="Q157" s="232"/>
      <c r="R157" s="232"/>
      <c r="S157" s="232"/>
      <c r="T157" s="232"/>
      <c r="U157" s="233"/>
      <c r="V157" s="232"/>
      <c r="W157" s="232"/>
      <c r="X157" s="232"/>
      <c r="Y157" s="232"/>
      <c r="Z157" s="232"/>
      <c r="AA157" s="232"/>
      <c r="AD157">
        <v>10</v>
      </c>
      <c r="AE157" s="22">
        <f>O170</f>
        <v>2.6</v>
      </c>
      <c r="AH157" s="22">
        <f>AE157</f>
        <v>2.6</v>
      </c>
      <c r="AJ157">
        <v>10</v>
      </c>
      <c r="AK157" s="22">
        <f>AH157</f>
        <v>2.6</v>
      </c>
    </row>
    <row r="158" spans="2:37" ht="12.75">
      <c r="B158" s="114" t="s">
        <v>806</v>
      </c>
      <c r="C158" s="115" t="s">
        <v>802</v>
      </c>
      <c r="E158" s="115" t="s">
        <v>795</v>
      </c>
      <c r="F158" s="72" t="s">
        <v>807</v>
      </c>
      <c r="G158" s="72" t="s">
        <v>808</v>
      </c>
      <c r="H158" s="72" t="s">
        <v>809</v>
      </c>
      <c r="I158" s="113"/>
      <c r="O158" s="98" t="s">
        <v>810</v>
      </c>
      <c r="P158" s="98"/>
      <c r="Q158" s="98"/>
      <c r="R158" s="98"/>
      <c r="S158" s="98"/>
      <c r="T158" s="98"/>
      <c r="U158" s="233"/>
      <c r="V158" s="98" t="s">
        <v>811</v>
      </c>
      <c r="W158" s="98"/>
      <c r="X158" s="98"/>
      <c r="Y158" s="98"/>
      <c r="Z158" s="98"/>
      <c r="AA158" s="98"/>
      <c r="AD158">
        <v>11</v>
      </c>
      <c r="AH158" s="22">
        <f>AH157+$AG$167</f>
        <v>2.8</v>
      </c>
      <c r="AJ158">
        <v>11</v>
      </c>
      <c r="AK158" s="22">
        <f>AK157+$AG$167</f>
        <v>2.8</v>
      </c>
    </row>
    <row r="159" spans="2:37" ht="12.75">
      <c r="B159" s="234" t="s">
        <v>812</v>
      </c>
      <c r="C159" s="122" t="s">
        <v>802</v>
      </c>
      <c r="D159" s="235"/>
      <c r="E159" s="122" t="s">
        <v>813</v>
      </c>
      <c r="F159" s="72" t="s">
        <v>796</v>
      </c>
      <c r="G159" s="122" t="s">
        <v>814</v>
      </c>
      <c r="H159" s="122">
        <v>17.4</v>
      </c>
      <c r="I159" s="113"/>
      <c r="O159" s="236">
        <v>10</v>
      </c>
      <c r="P159" s="236">
        <v>20</v>
      </c>
      <c r="Q159" s="236">
        <v>30</v>
      </c>
      <c r="R159" s="236">
        <v>40</v>
      </c>
      <c r="S159" s="236">
        <v>50</v>
      </c>
      <c r="T159" s="236">
        <v>60</v>
      </c>
      <c r="U159" s="233"/>
      <c r="V159" s="236">
        <v>10</v>
      </c>
      <c r="W159" s="236">
        <v>20</v>
      </c>
      <c r="X159" s="236">
        <v>30</v>
      </c>
      <c r="Y159" s="236">
        <v>40</v>
      </c>
      <c r="Z159" s="236">
        <v>50</v>
      </c>
      <c r="AA159" s="236">
        <v>60</v>
      </c>
      <c r="AD159">
        <v>12</v>
      </c>
      <c r="AH159" s="22">
        <f>AH158+$AG$167</f>
        <v>3</v>
      </c>
      <c r="AJ159">
        <v>12</v>
      </c>
      <c r="AK159" s="22">
        <f>AK158+$AG$167</f>
        <v>3</v>
      </c>
    </row>
    <row r="160" spans="2:37" ht="12.75">
      <c r="B160" s="114" t="s">
        <v>815</v>
      </c>
      <c r="C160" s="115" t="s">
        <v>802</v>
      </c>
      <c r="E160" s="115" t="s">
        <v>795</v>
      </c>
      <c r="F160" s="72" t="s">
        <v>816</v>
      </c>
      <c r="G160" s="72" t="s">
        <v>804</v>
      </c>
      <c r="H160" s="161" t="s">
        <v>817</v>
      </c>
      <c r="I160" s="113"/>
      <c r="O160" s="233"/>
      <c r="P160" s="233"/>
      <c r="Q160" s="233"/>
      <c r="R160" s="233"/>
      <c r="S160" s="233"/>
      <c r="T160" s="233"/>
      <c r="U160" s="233"/>
      <c r="V160" s="233"/>
      <c r="W160" s="233"/>
      <c r="X160" s="233"/>
      <c r="Y160" s="233"/>
      <c r="Z160" s="233"/>
      <c r="AA160" s="233"/>
      <c r="AD160">
        <v>13</v>
      </c>
      <c r="AH160" s="22">
        <f>AH159+$AG$167</f>
        <v>3.2</v>
      </c>
      <c r="AJ160">
        <v>13</v>
      </c>
      <c r="AK160" s="22">
        <f>AK159+$AG$167</f>
        <v>3.2</v>
      </c>
    </row>
    <row r="161" spans="2:37" ht="12.75">
      <c r="B161" s="114" t="s">
        <v>818</v>
      </c>
      <c r="C161" s="115" t="s">
        <v>802</v>
      </c>
      <c r="E161" s="115" t="s">
        <v>813</v>
      </c>
      <c r="F161" s="72" t="s">
        <v>819</v>
      </c>
      <c r="G161" s="72" t="s">
        <v>814</v>
      </c>
      <c r="H161" s="161" t="s">
        <v>820</v>
      </c>
      <c r="I161" s="113"/>
      <c r="O161" s="233">
        <v>2.6</v>
      </c>
      <c r="P161" s="233">
        <v>4.6</v>
      </c>
      <c r="Q161" s="233">
        <v>6.5</v>
      </c>
      <c r="R161" s="233">
        <v>7.8</v>
      </c>
      <c r="S161" s="233">
        <v>9.8</v>
      </c>
      <c r="T161" s="233">
        <v>11.7</v>
      </c>
      <c r="U161" s="233"/>
      <c r="V161" s="233">
        <v>2.6</v>
      </c>
      <c r="W161" s="233">
        <v>4.6</v>
      </c>
      <c r="X161" s="233">
        <v>6.5</v>
      </c>
      <c r="Y161" s="233">
        <v>7.8</v>
      </c>
      <c r="Z161" s="233">
        <v>9.8</v>
      </c>
      <c r="AA161" s="233">
        <v>11.7</v>
      </c>
      <c r="AD161">
        <v>14</v>
      </c>
      <c r="AH161" s="22">
        <f>AH160+$AG$167</f>
        <v>3.4000000000000004</v>
      </c>
      <c r="AJ161">
        <v>14</v>
      </c>
      <c r="AK161" s="22">
        <f>AK160+$AG$167</f>
        <v>3.4000000000000004</v>
      </c>
    </row>
    <row r="162" spans="2:37" ht="12.75">
      <c r="B162" s="114" t="s">
        <v>821</v>
      </c>
      <c r="C162" s="115" t="s">
        <v>802</v>
      </c>
      <c r="D162" s="72"/>
      <c r="E162" s="115" t="s">
        <v>795</v>
      </c>
      <c r="F162" s="72" t="s">
        <v>822</v>
      </c>
      <c r="G162" s="115" t="s">
        <v>808</v>
      </c>
      <c r="H162" s="70" t="s">
        <v>823</v>
      </c>
      <c r="I162" s="113"/>
      <c r="AD162">
        <v>15</v>
      </c>
      <c r="AH162" s="22">
        <f>AH161+$AG$167</f>
        <v>3.6000000000000005</v>
      </c>
      <c r="AJ162">
        <v>15</v>
      </c>
      <c r="AK162" s="22">
        <f>AK161+$AG$167</f>
        <v>3.6000000000000005</v>
      </c>
    </row>
    <row r="163" spans="2:37" ht="12.75">
      <c r="B163" s="114" t="s">
        <v>824</v>
      </c>
      <c r="C163" s="115" t="s">
        <v>802</v>
      </c>
      <c r="D163" s="115"/>
      <c r="E163" s="115" t="s">
        <v>795</v>
      </c>
      <c r="F163" s="72" t="s">
        <v>825</v>
      </c>
      <c r="G163" s="115" t="s">
        <v>826</v>
      </c>
      <c r="H163" s="160" t="s">
        <v>827</v>
      </c>
      <c r="I163" s="113"/>
      <c r="AD163">
        <v>16</v>
      </c>
      <c r="AH163" s="22">
        <f>AH162+$AG$167</f>
        <v>3.8000000000000007</v>
      </c>
      <c r="AJ163">
        <v>16</v>
      </c>
      <c r="AK163" s="22">
        <f>AK162+$AG$167</f>
        <v>3.8000000000000007</v>
      </c>
    </row>
    <row r="164" spans="2:37" ht="12.75">
      <c r="B164" s="234" t="s">
        <v>828</v>
      </c>
      <c r="C164" s="122" t="s">
        <v>794</v>
      </c>
      <c r="D164" s="122"/>
      <c r="E164" s="122" t="s">
        <v>829</v>
      </c>
      <c r="F164" s="235" t="s">
        <v>830</v>
      </c>
      <c r="G164" s="122" t="s">
        <v>831</v>
      </c>
      <c r="H164" s="122" t="s">
        <v>832</v>
      </c>
      <c r="I164" s="113"/>
      <c r="O164" s="110" t="s">
        <v>792</v>
      </c>
      <c r="P164" s="110"/>
      <c r="Q164" s="110"/>
      <c r="R164" s="110"/>
      <c r="S164" s="110"/>
      <c r="T164" s="110"/>
      <c r="U164" s="110"/>
      <c r="V164" s="110"/>
      <c r="W164" s="110"/>
      <c r="X164" s="110"/>
      <c r="Y164" s="110"/>
      <c r="Z164" s="110"/>
      <c r="AA164" s="110"/>
      <c r="AD164">
        <v>17</v>
      </c>
      <c r="AH164" s="22">
        <f>AH163+$AG$167</f>
        <v>4.000000000000001</v>
      </c>
      <c r="AJ164">
        <v>17</v>
      </c>
      <c r="AK164" s="22">
        <f>AK163+$AG$167</f>
        <v>4.000000000000001</v>
      </c>
    </row>
    <row r="165" spans="2:37" ht="12.75" customHeight="1">
      <c r="B165" s="234"/>
      <c r="C165" s="122"/>
      <c r="D165" s="122"/>
      <c r="E165" s="122"/>
      <c r="F165" s="235"/>
      <c r="G165" s="122"/>
      <c r="H165" s="122"/>
      <c r="I165" s="113"/>
      <c r="O165" s="232" t="s">
        <v>799</v>
      </c>
      <c r="P165" s="232"/>
      <c r="Q165" s="232"/>
      <c r="R165" s="232"/>
      <c r="S165" s="232"/>
      <c r="T165" s="232"/>
      <c r="U165" s="233"/>
      <c r="V165" s="232" t="s">
        <v>800</v>
      </c>
      <c r="W165" s="232"/>
      <c r="X165" s="232"/>
      <c r="Y165" s="232"/>
      <c r="Z165" s="232"/>
      <c r="AA165" s="232"/>
      <c r="AD165">
        <v>18</v>
      </c>
      <c r="AH165" s="22">
        <f>AH164+$AG$167</f>
        <v>4.200000000000001</v>
      </c>
      <c r="AJ165">
        <v>18</v>
      </c>
      <c r="AK165" s="22">
        <f>AK164+$AG$167</f>
        <v>4.200000000000001</v>
      </c>
    </row>
    <row r="166" spans="2:37" ht="12.75">
      <c r="B166" s="114" t="s">
        <v>833</v>
      </c>
      <c r="C166" s="115" t="s">
        <v>794</v>
      </c>
      <c r="D166" s="72"/>
      <c r="E166" s="115" t="s">
        <v>813</v>
      </c>
      <c r="F166" s="72" t="s">
        <v>834</v>
      </c>
      <c r="G166" s="115" t="s">
        <v>835</v>
      </c>
      <c r="H166" s="70" t="s">
        <v>836</v>
      </c>
      <c r="I166" s="113"/>
      <c r="O166" s="232"/>
      <c r="P166" s="232"/>
      <c r="Q166" s="232"/>
      <c r="R166" s="232"/>
      <c r="S166" s="232"/>
      <c r="T166" s="232"/>
      <c r="U166" s="233"/>
      <c r="V166" s="232"/>
      <c r="W166" s="232"/>
      <c r="X166" s="232"/>
      <c r="Y166" s="232"/>
      <c r="Z166" s="232"/>
      <c r="AA166" s="232"/>
      <c r="AD166">
        <v>19</v>
      </c>
      <c r="AH166" s="22">
        <f>AH165+$AG$167</f>
        <v>4.400000000000001</v>
      </c>
      <c r="AJ166">
        <v>19</v>
      </c>
      <c r="AK166" s="22">
        <f>AK165+$AG$167</f>
        <v>4.400000000000001</v>
      </c>
    </row>
    <row r="167" spans="2:37" ht="12.75">
      <c r="B167" s="114" t="s">
        <v>837</v>
      </c>
      <c r="C167" s="115" t="s">
        <v>802</v>
      </c>
      <c r="E167" s="115" t="s">
        <v>795</v>
      </c>
      <c r="F167" s="72" t="s">
        <v>838</v>
      </c>
      <c r="G167" s="115" t="s">
        <v>839</v>
      </c>
      <c r="H167" s="70" t="s">
        <v>838</v>
      </c>
      <c r="I167" s="113"/>
      <c r="O167" s="98" t="s">
        <v>810</v>
      </c>
      <c r="P167" s="98"/>
      <c r="Q167" s="98"/>
      <c r="R167" s="98"/>
      <c r="S167" s="98"/>
      <c r="T167" s="98"/>
      <c r="U167" s="233"/>
      <c r="V167" s="98" t="s">
        <v>811</v>
      </c>
      <c r="W167" s="98"/>
      <c r="X167" s="98"/>
      <c r="Y167" s="98"/>
      <c r="Z167" s="98"/>
      <c r="AA167" s="98"/>
      <c r="AD167">
        <v>20</v>
      </c>
      <c r="AE167" s="22">
        <f>P170</f>
        <v>4.6</v>
      </c>
      <c r="AF167" s="22">
        <f>AE167-AE157</f>
        <v>1.9999999999999996</v>
      </c>
      <c r="AG167" s="22">
        <f>AF167/10</f>
        <v>0.19999999999999996</v>
      </c>
      <c r="AH167" s="22">
        <f>AE167</f>
        <v>4.6</v>
      </c>
      <c r="AJ167">
        <v>20</v>
      </c>
      <c r="AK167" s="22">
        <f>AH167</f>
        <v>4.6</v>
      </c>
    </row>
    <row r="168" spans="2:37" ht="12.75">
      <c r="B168" s="114" t="s">
        <v>840</v>
      </c>
      <c r="C168" s="115" t="s">
        <v>802</v>
      </c>
      <c r="E168" s="115" t="s">
        <v>795</v>
      </c>
      <c r="F168" s="72" t="s">
        <v>838</v>
      </c>
      <c r="G168" s="115" t="s">
        <v>839</v>
      </c>
      <c r="H168" s="70" t="s">
        <v>838</v>
      </c>
      <c r="I168" s="113"/>
      <c r="O168" s="236">
        <v>10</v>
      </c>
      <c r="P168" s="236">
        <v>20</v>
      </c>
      <c r="Q168" s="236">
        <v>30</v>
      </c>
      <c r="R168" s="236">
        <v>40</v>
      </c>
      <c r="S168" s="236">
        <v>50</v>
      </c>
      <c r="T168" s="236">
        <v>60</v>
      </c>
      <c r="U168" s="233"/>
      <c r="V168" s="236">
        <v>10</v>
      </c>
      <c r="W168" s="236">
        <v>20</v>
      </c>
      <c r="X168" s="236">
        <v>30</v>
      </c>
      <c r="Y168" s="236">
        <v>40</v>
      </c>
      <c r="Z168" s="236">
        <v>50</v>
      </c>
      <c r="AA168" s="236">
        <v>60</v>
      </c>
      <c r="AD168">
        <v>21</v>
      </c>
      <c r="AH168" s="22">
        <f>AH167+$AG$177</f>
        <v>4.79</v>
      </c>
      <c r="AJ168">
        <v>21</v>
      </c>
      <c r="AK168" s="22">
        <f>AK167+$AG$177</f>
        <v>4.79</v>
      </c>
    </row>
    <row r="169" spans="2:37" ht="12.75">
      <c r="B169" s="114" t="s">
        <v>841</v>
      </c>
      <c r="C169" s="115" t="s">
        <v>802</v>
      </c>
      <c r="D169" s="72"/>
      <c r="E169" s="115" t="s">
        <v>813</v>
      </c>
      <c r="F169" s="72" t="s">
        <v>834</v>
      </c>
      <c r="G169" s="115" t="s">
        <v>842</v>
      </c>
      <c r="H169" s="70" t="s">
        <v>843</v>
      </c>
      <c r="I169" s="113"/>
      <c r="O169" s="233"/>
      <c r="P169" s="233"/>
      <c r="Q169" s="233"/>
      <c r="R169" s="233"/>
      <c r="S169" s="233"/>
      <c r="T169" s="233"/>
      <c r="U169" s="233"/>
      <c r="V169" s="233"/>
      <c r="W169" s="233"/>
      <c r="X169" s="233"/>
      <c r="Y169" s="233"/>
      <c r="Z169" s="233"/>
      <c r="AA169" s="233"/>
      <c r="AD169">
        <v>22</v>
      </c>
      <c r="AH169" s="22">
        <f>AH168+$AG$177</f>
        <v>4.98</v>
      </c>
      <c r="AJ169">
        <v>22</v>
      </c>
      <c r="AK169" s="22">
        <f>AK168+$AG$177</f>
        <v>4.98</v>
      </c>
    </row>
    <row r="170" spans="2:37" ht="12.75">
      <c r="B170" s="114" t="s">
        <v>844</v>
      </c>
      <c r="C170" s="115" t="s">
        <v>802</v>
      </c>
      <c r="D170" s="72"/>
      <c r="E170" s="115" t="s">
        <v>795</v>
      </c>
      <c r="F170" s="72" t="s">
        <v>834</v>
      </c>
      <c r="G170" s="115" t="s">
        <v>845</v>
      </c>
      <c r="H170" s="70" t="s">
        <v>846</v>
      </c>
      <c r="I170" s="113"/>
      <c r="O170" s="233">
        <f>O161</f>
        <v>2.6</v>
      </c>
      <c r="P170" s="233">
        <f>P161</f>
        <v>4.6</v>
      </c>
      <c r="Q170" s="233">
        <f>Q161</f>
        <v>6.5</v>
      </c>
      <c r="R170" s="233">
        <f>R161</f>
        <v>7.8</v>
      </c>
      <c r="S170" s="233">
        <f>S161</f>
        <v>9.8</v>
      </c>
      <c r="T170" s="233">
        <f>T161</f>
        <v>11.7</v>
      </c>
      <c r="U170" s="233"/>
      <c r="V170" s="233">
        <f>V161</f>
        <v>2.6</v>
      </c>
      <c r="W170" s="233">
        <f>W161</f>
        <v>4.6</v>
      </c>
      <c r="X170" s="233">
        <f>X161</f>
        <v>6.5</v>
      </c>
      <c r="Y170" s="233">
        <f>Y161</f>
        <v>7.8</v>
      </c>
      <c r="Z170" s="233">
        <f>Z161</f>
        <v>9.8</v>
      </c>
      <c r="AA170" s="233">
        <f>AA161</f>
        <v>11.7</v>
      </c>
      <c r="AD170">
        <v>23</v>
      </c>
      <c r="AH170" s="22">
        <f>AH169+$AG$177</f>
        <v>5.170000000000001</v>
      </c>
      <c r="AJ170">
        <v>23</v>
      </c>
      <c r="AK170" s="22">
        <f>AK169+$AG$177</f>
        <v>5.170000000000001</v>
      </c>
    </row>
    <row r="171" spans="2:37" ht="12.75">
      <c r="B171" s="114" t="s">
        <v>847</v>
      </c>
      <c r="C171" s="115" t="s">
        <v>802</v>
      </c>
      <c r="D171" s="72"/>
      <c r="E171" s="115" t="s">
        <v>795</v>
      </c>
      <c r="F171" s="72" t="s">
        <v>838</v>
      </c>
      <c r="G171" s="115" t="s">
        <v>839</v>
      </c>
      <c r="H171" s="70" t="s">
        <v>848</v>
      </c>
      <c r="I171" s="113"/>
      <c r="AD171">
        <v>24</v>
      </c>
      <c r="AH171" s="22">
        <f>AH170+$AG$177</f>
        <v>5.360000000000001</v>
      </c>
      <c r="AJ171">
        <v>24</v>
      </c>
      <c r="AK171" s="22">
        <f>AK170+$AG$177</f>
        <v>5.360000000000001</v>
      </c>
    </row>
    <row r="172" spans="2:37" ht="12.75">
      <c r="B172" s="237"/>
      <c r="H172" s="70"/>
      <c r="I172" s="113"/>
      <c r="AD172">
        <v>25</v>
      </c>
      <c r="AH172" s="22">
        <f>AH171+$AG$177</f>
        <v>5.550000000000002</v>
      </c>
      <c r="AJ172">
        <v>25</v>
      </c>
      <c r="AK172" s="22">
        <f>AK171+$AG$177</f>
        <v>5.550000000000002</v>
      </c>
    </row>
    <row r="173" spans="2:37" ht="12.75">
      <c r="B173" s="237"/>
      <c r="H173" s="70"/>
      <c r="I173" s="113"/>
      <c r="AD173">
        <v>26</v>
      </c>
      <c r="AH173" s="22">
        <f>AH172+$AG$177</f>
        <v>5.740000000000002</v>
      </c>
      <c r="AJ173">
        <v>26</v>
      </c>
      <c r="AK173" s="22">
        <f>AK172+$AG$177</f>
        <v>5.740000000000002</v>
      </c>
    </row>
    <row r="174" spans="2:37" ht="12.75">
      <c r="B174" s="237"/>
      <c r="H174" s="57"/>
      <c r="I174" s="113"/>
      <c r="O174" t="s">
        <v>849</v>
      </c>
      <c r="R174" t="s">
        <v>850</v>
      </c>
      <c r="V174" t="s">
        <v>851</v>
      </c>
      <c r="AD174">
        <v>27</v>
      </c>
      <c r="AH174" s="22">
        <f>AH173+$AG$177</f>
        <v>5.930000000000002</v>
      </c>
      <c r="AJ174">
        <v>27</v>
      </c>
      <c r="AK174" s="22">
        <f>AK173+$AG$177</f>
        <v>5.930000000000002</v>
      </c>
    </row>
    <row r="175" spans="2:37" ht="12.75">
      <c r="B175" s="237"/>
      <c r="H175" s="57"/>
      <c r="I175" s="113"/>
      <c r="O175">
        <v>16</v>
      </c>
      <c r="P175" s="22">
        <f>AK163</f>
        <v>3.8000000000000007</v>
      </c>
      <c r="R175">
        <v>16</v>
      </c>
      <c r="S175" s="22">
        <f>P175*1.2*0.9</f>
        <v>4.104000000000001</v>
      </c>
      <c r="V175">
        <v>16</v>
      </c>
      <c r="W175" s="22">
        <f>P175*0.95*1.2</f>
        <v>4.332000000000001</v>
      </c>
      <c r="AD175">
        <v>28</v>
      </c>
      <c r="AH175" s="22">
        <f>AH174+$AG$177</f>
        <v>6.120000000000003</v>
      </c>
      <c r="AJ175">
        <v>28</v>
      </c>
      <c r="AK175" s="22">
        <f>AK174+$AG$177</f>
        <v>6.120000000000003</v>
      </c>
    </row>
    <row r="176" spans="2:37" ht="12.75">
      <c r="B176" s="238"/>
      <c r="C176" s="18"/>
      <c r="D176" s="18"/>
      <c r="E176" s="18"/>
      <c r="F176" s="18"/>
      <c r="G176" s="18"/>
      <c r="H176" s="18"/>
      <c r="I176" s="78"/>
      <c r="O176">
        <v>24</v>
      </c>
      <c r="P176" s="22">
        <f>AK171</f>
        <v>5.360000000000001</v>
      </c>
      <c r="R176">
        <v>24</v>
      </c>
      <c r="S176" s="22">
        <f>P176*1.2*0.9</f>
        <v>5.788800000000001</v>
      </c>
      <c r="V176">
        <v>24</v>
      </c>
      <c r="W176" s="22">
        <f>P176*0.95*1.2</f>
        <v>6.110400000000001</v>
      </c>
      <c r="AD176">
        <v>29</v>
      </c>
      <c r="AH176" s="22">
        <f>AH175+$AG$177</f>
        <v>6.310000000000003</v>
      </c>
      <c r="AJ176">
        <v>29</v>
      </c>
      <c r="AK176" s="22">
        <f>AK175+$AG$177</f>
        <v>6.310000000000003</v>
      </c>
    </row>
    <row r="177" spans="15:37" ht="12.75">
      <c r="O177">
        <v>31</v>
      </c>
      <c r="P177" s="22">
        <f>AK178</f>
        <v>6.6300000000000034</v>
      </c>
      <c r="R177">
        <v>31</v>
      </c>
      <c r="S177" s="22">
        <f>P177*1.2*0.9</f>
        <v>7.160400000000004</v>
      </c>
      <c r="V177">
        <v>31</v>
      </c>
      <c r="W177" s="22">
        <f>P177*0.95*1.2</f>
        <v>7.558200000000004</v>
      </c>
      <c r="AD177">
        <v>30</v>
      </c>
      <c r="AE177" s="22">
        <f>Q170</f>
        <v>6.5</v>
      </c>
      <c r="AF177" s="22">
        <f>AE177-AE167</f>
        <v>1.9000000000000004</v>
      </c>
      <c r="AG177" s="22">
        <f>AF177/10</f>
        <v>0.19000000000000003</v>
      </c>
      <c r="AH177" s="22">
        <f>AH176+$AG$177</f>
        <v>6.5000000000000036</v>
      </c>
      <c r="AJ177">
        <v>30</v>
      </c>
      <c r="AK177" s="22">
        <f>AK176+$AG$177</f>
        <v>6.5000000000000036</v>
      </c>
    </row>
    <row r="178" spans="15:37" ht="12.75">
      <c r="O178">
        <v>32</v>
      </c>
      <c r="P178" s="22">
        <f>AK179</f>
        <v>6.760000000000003</v>
      </c>
      <c r="R178">
        <v>32</v>
      </c>
      <c r="S178" s="22">
        <f>P178*1.2*0.9</f>
        <v>7.300800000000003</v>
      </c>
      <c r="V178">
        <v>32</v>
      </c>
      <c r="W178" s="22">
        <f>P178*0.95*1.2</f>
        <v>7.706400000000004</v>
      </c>
      <c r="AD178">
        <v>31</v>
      </c>
      <c r="AH178" s="22">
        <f>AH177+$AG$187</f>
        <v>6.6300000000000034</v>
      </c>
      <c r="AJ178">
        <v>31</v>
      </c>
      <c r="AK178" s="22">
        <f>AK177+$AG$187</f>
        <v>6.6300000000000034</v>
      </c>
    </row>
    <row r="179" spans="2:37" ht="12.75">
      <c r="B179" s="110" t="s">
        <v>852</v>
      </c>
      <c r="C179" s="110"/>
      <c r="D179" s="110"/>
      <c r="E179" s="110"/>
      <c r="F179" s="110"/>
      <c r="G179" s="110"/>
      <c r="H179" s="110"/>
      <c r="I179" s="110"/>
      <c r="J179" s="110"/>
      <c r="K179" s="110"/>
      <c r="O179">
        <v>36</v>
      </c>
      <c r="P179" s="22">
        <f>AK183</f>
        <v>7.280000000000003</v>
      </c>
      <c r="R179">
        <v>36</v>
      </c>
      <c r="S179" s="22">
        <f>P179*1.2*0.9</f>
        <v>7.862400000000003</v>
      </c>
      <c r="V179">
        <v>36</v>
      </c>
      <c r="W179" s="22">
        <f>P179*0.95*1.2</f>
        <v>8.299200000000003</v>
      </c>
      <c r="AD179">
        <v>32</v>
      </c>
      <c r="AH179" s="22">
        <f>AH178+$AG$187</f>
        <v>6.760000000000003</v>
      </c>
      <c r="AJ179">
        <v>32</v>
      </c>
      <c r="AK179" s="22">
        <f>AK178+$AG$187</f>
        <v>6.760000000000003</v>
      </c>
    </row>
    <row r="180" spans="2:37" ht="12.75">
      <c r="B180" s="110"/>
      <c r="C180" s="110" t="s">
        <v>853</v>
      </c>
      <c r="D180" s="110"/>
      <c r="E180" s="110"/>
      <c r="F180" s="110"/>
      <c r="G180" s="110"/>
      <c r="H180" s="110"/>
      <c r="I180" s="110"/>
      <c r="J180" s="110"/>
      <c r="K180" s="110"/>
      <c r="O180">
        <v>41</v>
      </c>
      <c r="P180" s="22">
        <f>AK188</f>
        <v>8.000000000000002</v>
      </c>
      <c r="R180">
        <v>41</v>
      </c>
      <c r="S180" s="22">
        <f>P180*1.2*0.9</f>
        <v>8.640000000000002</v>
      </c>
      <c r="V180">
        <v>41</v>
      </c>
      <c r="W180" s="22">
        <f>P180*0.95*1.2</f>
        <v>9.120000000000003</v>
      </c>
      <c r="AD180">
        <v>33</v>
      </c>
      <c r="AH180" s="22">
        <f>AH179+$AG$187</f>
        <v>6.890000000000003</v>
      </c>
      <c r="AJ180">
        <v>33</v>
      </c>
      <c r="AK180" s="22">
        <f>AK179+$AG$187</f>
        <v>6.890000000000003</v>
      </c>
    </row>
    <row r="181" spans="2:37" ht="12.75">
      <c r="B181" s="232" t="s">
        <v>854</v>
      </c>
      <c r="C181" s="232" t="s">
        <v>855</v>
      </c>
      <c r="D181" s="232" t="s">
        <v>856</v>
      </c>
      <c r="E181" s="232" t="s">
        <v>856</v>
      </c>
      <c r="F181" s="232" t="s">
        <v>856</v>
      </c>
      <c r="G181" s="232" t="s">
        <v>856</v>
      </c>
      <c r="H181" s="232" t="s">
        <v>856</v>
      </c>
      <c r="I181" s="232" t="s">
        <v>856</v>
      </c>
      <c r="J181" s="232" t="s">
        <v>856</v>
      </c>
      <c r="K181" s="236" t="s">
        <v>857</v>
      </c>
      <c r="AD181">
        <v>34</v>
      </c>
      <c r="AH181" s="22">
        <f>AH180+$AG$187</f>
        <v>7.020000000000003</v>
      </c>
      <c r="AJ181">
        <v>34</v>
      </c>
      <c r="AK181" s="22">
        <f>AK180+$AG$187</f>
        <v>7.020000000000003</v>
      </c>
    </row>
    <row r="182" spans="2:37" ht="12.75">
      <c r="B182" s="232"/>
      <c r="C182" s="232" t="s">
        <v>858</v>
      </c>
      <c r="D182" s="232" t="s">
        <v>859</v>
      </c>
      <c r="E182" s="232" t="s">
        <v>860</v>
      </c>
      <c r="F182" s="232" t="s">
        <v>861</v>
      </c>
      <c r="G182" s="232" t="s">
        <v>862</v>
      </c>
      <c r="H182" s="236" t="s">
        <v>863</v>
      </c>
      <c r="I182" s="236" t="s">
        <v>864</v>
      </c>
      <c r="J182" s="102" t="s">
        <v>865</v>
      </c>
      <c r="K182" s="102"/>
      <c r="O182" t="s">
        <v>866</v>
      </c>
      <c r="P182" t="s">
        <v>867</v>
      </c>
      <c r="Q182" t="s">
        <v>868</v>
      </c>
      <c r="R182" t="s">
        <v>869</v>
      </c>
      <c r="S182" t="s">
        <v>870</v>
      </c>
      <c r="AD182">
        <v>35</v>
      </c>
      <c r="AH182" s="22">
        <f>AH181+$AG$187</f>
        <v>7.150000000000003</v>
      </c>
      <c r="AJ182">
        <v>35</v>
      </c>
      <c r="AK182" s="22">
        <f>AK181+$AG$187</f>
        <v>7.150000000000003</v>
      </c>
    </row>
    <row r="183" spans="2:37" ht="12.75">
      <c r="B183" s="98" t="s">
        <v>813</v>
      </c>
      <c r="C183" s="98"/>
      <c r="D183" s="98"/>
      <c r="E183" s="98"/>
      <c r="F183" s="98"/>
      <c r="G183" s="98"/>
      <c r="H183" s="98"/>
      <c r="I183" s="98"/>
      <c r="J183" s="98"/>
      <c r="K183" s="98"/>
      <c r="O183" t="s">
        <v>871</v>
      </c>
      <c r="P183" t="s">
        <v>872</v>
      </c>
      <c r="Q183" t="s">
        <v>794</v>
      </c>
      <c r="R183" t="s">
        <v>873</v>
      </c>
      <c r="S183" t="s">
        <v>874</v>
      </c>
      <c r="AD183">
        <v>36</v>
      </c>
      <c r="AH183" s="22">
        <f>AH182+$AG$187</f>
        <v>7.280000000000003</v>
      </c>
      <c r="AJ183">
        <v>36</v>
      </c>
      <c r="AK183" s="22">
        <f>AK182+$AG$187</f>
        <v>7.280000000000003</v>
      </c>
    </row>
    <row r="184" spans="2:37" ht="12.75">
      <c r="B184" s="100">
        <v>10</v>
      </c>
      <c r="C184" s="100">
        <v>3.5</v>
      </c>
      <c r="D184" s="239">
        <v>1.2</v>
      </c>
      <c r="E184" s="100">
        <v>1.3</v>
      </c>
      <c r="F184" s="240">
        <v>0.9</v>
      </c>
      <c r="G184" s="240">
        <v>1.6</v>
      </c>
      <c r="H184" s="241">
        <v>1</v>
      </c>
      <c r="I184" s="239">
        <v>1</v>
      </c>
      <c r="J184" s="239">
        <v>1</v>
      </c>
      <c r="K184" s="102">
        <f>C184*D184*E184*F184*G184*H184*I184*J184</f>
        <v>7.862400000000001</v>
      </c>
      <c r="L184" s="22">
        <f>K184*0.7</f>
        <v>5.503680000000001</v>
      </c>
      <c r="O184" t="s">
        <v>875</v>
      </c>
      <c r="P184" t="s">
        <v>876</v>
      </c>
      <c r="Q184" t="s">
        <v>794</v>
      </c>
      <c r="R184" t="s">
        <v>877</v>
      </c>
      <c r="S184" t="s">
        <v>878</v>
      </c>
      <c r="AD184">
        <v>37</v>
      </c>
      <c r="AH184" s="22">
        <f>AH183+$AG$187</f>
        <v>7.410000000000003</v>
      </c>
      <c r="AJ184">
        <v>37</v>
      </c>
      <c r="AK184" s="22">
        <f>AK183+$AG$187</f>
        <v>7.410000000000003</v>
      </c>
    </row>
    <row r="185" spans="2:37" ht="12.75">
      <c r="B185" s="100">
        <v>20</v>
      </c>
      <c r="C185" s="100">
        <v>7</v>
      </c>
      <c r="D185" s="239">
        <f>D184</f>
        <v>1.2</v>
      </c>
      <c r="E185" s="239">
        <f>E184</f>
        <v>1.3</v>
      </c>
      <c r="F185" s="239">
        <f>F184</f>
        <v>0.9</v>
      </c>
      <c r="G185" s="239">
        <f>G184</f>
        <v>1.6</v>
      </c>
      <c r="H185" s="239">
        <f>H184</f>
        <v>1</v>
      </c>
      <c r="I185" s="239">
        <f>I184</f>
        <v>1</v>
      </c>
      <c r="J185" s="239">
        <f>J184</f>
        <v>1</v>
      </c>
      <c r="K185" s="233">
        <f>C185*D185*E185*F185*G185*H185*I185*J185</f>
        <v>15.724800000000002</v>
      </c>
      <c r="L185" s="22">
        <f>K185*0.7</f>
        <v>11.007360000000002</v>
      </c>
      <c r="O185" s="71" t="s">
        <v>879</v>
      </c>
      <c r="P185" s="71" t="s">
        <v>872</v>
      </c>
      <c r="Q185" s="71" t="s">
        <v>794</v>
      </c>
      <c r="R185" s="71" t="s">
        <v>873</v>
      </c>
      <c r="S185" s="71" t="s">
        <v>880</v>
      </c>
      <c r="T185" s="71"/>
      <c r="AD185">
        <v>38</v>
      </c>
      <c r="AH185" s="22">
        <f>AH184+$AG$187</f>
        <v>7.540000000000003</v>
      </c>
      <c r="AJ185">
        <v>38</v>
      </c>
      <c r="AK185" s="22">
        <f>AK184+$AG$187</f>
        <v>7.540000000000003</v>
      </c>
    </row>
    <row r="186" spans="2:37" ht="12.75">
      <c r="B186" s="100">
        <v>30</v>
      </c>
      <c r="C186" s="100">
        <v>9.5</v>
      </c>
      <c r="D186" s="239">
        <f>D185</f>
        <v>1.2</v>
      </c>
      <c r="E186" s="239">
        <f>E185</f>
        <v>1.3</v>
      </c>
      <c r="F186" s="239">
        <f>F185</f>
        <v>0.9</v>
      </c>
      <c r="G186" s="239">
        <f>G185</f>
        <v>1.6</v>
      </c>
      <c r="H186" s="239">
        <f>H185</f>
        <v>1</v>
      </c>
      <c r="I186" s="239">
        <f>I185</f>
        <v>1</v>
      </c>
      <c r="J186" s="239">
        <f>J185</f>
        <v>1</v>
      </c>
      <c r="K186" s="233">
        <f>C186*D186*E186*F186*G186*H186*I186*J186</f>
        <v>21.3408</v>
      </c>
      <c r="L186" s="22">
        <f>K186*0.7</f>
        <v>14.938560000000003</v>
      </c>
      <c r="O186" t="s">
        <v>881</v>
      </c>
      <c r="P186" t="s">
        <v>876</v>
      </c>
      <c r="Q186" t="s">
        <v>794</v>
      </c>
      <c r="R186" t="s">
        <v>877</v>
      </c>
      <c r="S186" t="s">
        <v>882</v>
      </c>
      <c r="AD186">
        <v>39</v>
      </c>
      <c r="AH186" s="22">
        <f>AH185+$AG$187</f>
        <v>7.670000000000003</v>
      </c>
      <c r="AJ186">
        <v>39</v>
      </c>
      <c r="AK186" s="22">
        <f>AK185+$AG$187</f>
        <v>7.670000000000003</v>
      </c>
    </row>
    <row r="187" spans="2:37" ht="12.75">
      <c r="B187" s="100">
        <v>40</v>
      </c>
      <c r="C187" s="100">
        <v>12.5</v>
      </c>
      <c r="D187" s="239">
        <f>D186</f>
        <v>1.2</v>
      </c>
      <c r="E187" s="239">
        <f>E186</f>
        <v>1.3</v>
      </c>
      <c r="F187" s="239">
        <f>F186</f>
        <v>0.9</v>
      </c>
      <c r="G187" s="239">
        <f>G186</f>
        <v>1.6</v>
      </c>
      <c r="H187" s="239">
        <f>H186</f>
        <v>1</v>
      </c>
      <c r="I187" s="239">
        <f>I186</f>
        <v>1</v>
      </c>
      <c r="J187" s="239">
        <f>J186</f>
        <v>1</v>
      </c>
      <c r="K187" s="233">
        <f>C187*D187*E187*F187*G187*H187*I187*J187</f>
        <v>28.080000000000002</v>
      </c>
      <c r="L187" s="22">
        <f>K187*0.7</f>
        <v>19.656000000000002</v>
      </c>
      <c r="O187" t="s">
        <v>883</v>
      </c>
      <c r="P187" t="s">
        <v>872</v>
      </c>
      <c r="Q187" t="s">
        <v>802</v>
      </c>
      <c r="R187" t="s">
        <v>884</v>
      </c>
      <c r="S187" t="s">
        <v>885</v>
      </c>
      <c r="AD187">
        <v>40</v>
      </c>
      <c r="AE187" s="22">
        <f>R170</f>
        <v>7.8</v>
      </c>
      <c r="AF187" s="22">
        <f>AE187-AE177</f>
        <v>1.2999999999999998</v>
      </c>
      <c r="AG187" s="22">
        <f>AF187/10</f>
        <v>0.12999999999999998</v>
      </c>
      <c r="AH187" s="22">
        <f>AH186+$AG$187</f>
        <v>7.8000000000000025</v>
      </c>
      <c r="AJ187">
        <v>40</v>
      </c>
      <c r="AK187" s="22">
        <f>AK186+$AG$187</f>
        <v>7.8000000000000025</v>
      </c>
    </row>
    <row r="188" spans="2:37" ht="12.75">
      <c r="B188" s="100">
        <v>50</v>
      </c>
      <c r="C188" s="100">
        <v>15.5</v>
      </c>
      <c r="D188" s="239">
        <f>D187</f>
        <v>1.2</v>
      </c>
      <c r="E188" s="239">
        <f>E187</f>
        <v>1.3</v>
      </c>
      <c r="F188" s="239">
        <f>F187</f>
        <v>0.9</v>
      </c>
      <c r="G188" s="239">
        <f>G187</f>
        <v>1.6</v>
      </c>
      <c r="H188" s="239">
        <f>H187</f>
        <v>1</v>
      </c>
      <c r="I188" s="239">
        <f>I187</f>
        <v>1</v>
      </c>
      <c r="J188" s="239">
        <f>J187</f>
        <v>1</v>
      </c>
      <c r="K188" s="233">
        <f>C188*D188*E188*F188*G188*H188*I188*J188</f>
        <v>34.8192</v>
      </c>
      <c r="L188" s="22">
        <f>K188*0.7</f>
        <v>24.373440000000002</v>
      </c>
      <c r="O188" t="s">
        <v>886</v>
      </c>
      <c r="P188" t="s">
        <v>887</v>
      </c>
      <c r="Q188" t="s">
        <v>802</v>
      </c>
      <c r="R188" t="s">
        <v>888</v>
      </c>
      <c r="S188" t="s">
        <v>889</v>
      </c>
      <c r="AD188">
        <v>41</v>
      </c>
      <c r="AH188" s="22">
        <f>AH187+$AG$197</f>
        <v>8.000000000000002</v>
      </c>
      <c r="AJ188">
        <v>41</v>
      </c>
      <c r="AK188" s="22">
        <f>AK187+$AG$197</f>
        <v>8.000000000000002</v>
      </c>
    </row>
    <row r="189" spans="2:37" ht="12.75">
      <c r="B189" s="100">
        <v>60</v>
      </c>
      <c r="C189" s="100">
        <v>18.5</v>
      </c>
      <c r="D189" s="239">
        <f>D188</f>
        <v>1.2</v>
      </c>
      <c r="E189" s="239">
        <f>E188</f>
        <v>1.3</v>
      </c>
      <c r="F189" s="239">
        <f>F188</f>
        <v>0.9</v>
      </c>
      <c r="G189" s="239">
        <f>G188</f>
        <v>1.6</v>
      </c>
      <c r="H189" s="239">
        <f>H188</f>
        <v>1</v>
      </c>
      <c r="I189" s="239">
        <f>I188</f>
        <v>1</v>
      </c>
      <c r="J189" s="239">
        <f>J188</f>
        <v>1</v>
      </c>
      <c r="K189" s="233">
        <f>C189*D189*E189*F189*G189*H189*I189*J189</f>
        <v>41.558400000000006</v>
      </c>
      <c r="L189" s="22">
        <f>K189*0.7</f>
        <v>29.090880000000006</v>
      </c>
      <c r="O189" t="s">
        <v>890</v>
      </c>
      <c r="P189" t="s">
        <v>872</v>
      </c>
      <c r="Q189" t="s">
        <v>802</v>
      </c>
      <c r="R189" t="s">
        <v>884</v>
      </c>
      <c r="S189" t="s">
        <v>891</v>
      </c>
      <c r="AD189">
        <v>42</v>
      </c>
      <c r="AH189" s="22">
        <f>AH188+$AG$197</f>
        <v>8.200000000000001</v>
      </c>
      <c r="AJ189">
        <v>42</v>
      </c>
      <c r="AK189" s="22">
        <f>AK188+$AG$197</f>
        <v>8.200000000000001</v>
      </c>
    </row>
    <row r="190" spans="2:37" ht="12.75">
      <c r="B190" s="98" t="s">
        <v>892</v>
      </c>
      <c r="C190" s="98"/>
      <c r="D190" s="98"/>
      <c r="E190" s="98"/>
      <c r="F190" s="98"/>
      <c r="G190" s="98"/>
      <c r="H190" s="98"/>
      <c r="I190" s="98"/>
      <c r="J190" s="98"/>
      <c r="K190" s="98"/>
      <c r="O190" s="71" t="s">
        <v>893</v>
      </c>
      <c r="P190" t="s">
        <v>887</v>
      </c>
      <c r="Q190" s="71" t="s">
        <v>802</v>
      </c>
      <c r="R190" s="71" t="s">
        <v>888</v>
      </c>
      <c r="S190" s="71" t="s">
        <v>878</v>
      </c>
      <c r="AD190">
        <v>43</v>
      </c>
      <c r="AH190" s="22">
        <f>AH189+$AG$197</f>
        <v>8.4</v>
      </c>
      <c r="AJ190">
        <v>43</v>
      </c>
      <c r="AK190" s="22">
        <f>AK189+$AG$197</f>
        <v>8.4</v>
      </c>
    </row>
    <row r="191" spans="2:37" ht="12.75">
      <c r="B191" s="100">
        <v>10</v>
      </c>
      <c r="C191" s="239">
        <v>2</v>
      </c>
      <c r="D191" s="239">
        <v>1.2</v>
      </c>
      <c r="E191" s="100">
        <v>1.3</v>
      </c>
      <c r="F191" s="240">
        <v>0.9</v>
      </c>
      <c r="G191" s="240">
        <v>1.45</v>
      </c>
      <c r="H191" s="241">
        <v>1</v>
      </c>
      <c r="I191" s="239">
        <v>1</v>
      </c>
      <c r="J191" s="239">
        <v>1</v>
      </c>
      <c r="K191" s="233">
        <f>C191*D191*E191*F191*G191*H191*I191*J191</f>
        <v>4.0716</v>
      </c>
      <c r="O191" t="s">
        <v>894</v>
      </c>
      <c r="P191" t="s">
        <v>872</v>
      </c>
      <c r="Q191" t="s">
        <v>802</v>
      </c>
      <c r="R191" t="s">
        <v>884</v>
      </c>
      <c r="S191" t="s">
        <v>895</v>
      </c>
      <c r="AD191">
        <v>44</v>
      </c>
      <c r="AH191" s="22">
        <f>AH190+$AG$197</f>
        <v>8.6</v>
      </c>
      <c r="AJ191">
        <v>44</v>
      </c>
      <c r="AK191" s="22">
        <f>AK190+$AG$197</f>
        <v>8.6</v>
      </c>
    </row>
    <row r="192" spans="2:37" ht="12.75">
      <c r="B192" s="100">
        <v>20</v>
      </c>
      <c r="C192" s="239">
        <v>4</v>
      </c>
      <c r="D192" s="239">
        <f>D191</f>
        <v>1.2</v>
      </c>
      <c r="E192" s="239">
        <f>E191</f>
        <v>1.3</v>
      </c>
      <c r="F192" s="239">
        <f>F191</f>
        <v>0.9</v>
      </c>
      <c r="G192" s="239">
        <f>G191</f>
        <v>1.45</v>
      </c>
      <c r="H192" s="239">
        <f>H191</f>
        <v>1</v>
      </c>
      <c r="I192" s="239">
        <f>I191</f>
        <v>1</v>
      </c>
      <c r="J192" s="239">
        <f>J191</f>
        <v>1</v>
      </c>
      <c r="K192" s="233">
        <f>C192*D192*E192*F192*G192*H192*I192*J192</f>
        <v>8.1432</v>
      </c>
      <c r="O192" t="s">
        <v>896</v>
      </c>
      <c r="P192" t="s">
        <v>897</v>
      </c>
      <c r="Q192" t="s">
        <v>802</v>
      </c>
      <c r="R192" t="s">
        <v>898</v>
      </c>
      <c r="S192" t="s">
        <v>899</v>
      </c>
      <c r="AD192">
        <v>45</v>
      </c>
      <c r="AH192" s="22">
        <f>AH191+$AG$197</f>
        <v>8.799999999999999</v>
      </c>
      <c r="AJ192">
        <v>45</v>
      </c>
      <c r="AK192" s="22">
        <f>AK191+$AG$197</f>
        <v>8.799999999999999</v>
      </c>
    </row>
    <row r="193" spans="2:37" ht="12.75">
      <c r="B193" s="100">
        <v>30</v>
      </c>
      <c r="C193" s="239">
        <v>5.5</v>
      </c>
      <c r="D193" s="239">
        <f>D192</f>
        <v>1.2</v>
      </c>
      <c r="E193" s="239">
        <f>E192</f>
        <v>1.3</v>
      </c>
      <c r="F193" s="239">
        <f>F192</f>
        <v>0.9</v>
      </c>
      <c r="G193" s="239">
        <f>G192</f>
        <v>1.45</v>
      </c>
      <c r="H193" s="239">
        <f>H192</f>
        <v>1</v>
      </c>
      <c r="I193" s="239">
        <f>I192</f>
        <v>1</v>
      </c>
      <c r="J193" s="239">
        <f>J192</f>
        <v>1</v>
      </c>
      <c r="K193" s="233">
        <f>C193*D193*E193*F193*G193*H193*I193*J193</f>
        <v>11.1969</v>
      </c>
      <c r="M193" s="22">
        <f>K194-K193</f>
        <v>4.071600000000002</v>
      </c>
      <c r="O193" t="s">
        <v>900</v>
      </c>
      <c r="P193" t="s">
        <v>872</v>
      </c>
      <c r="Q193" t="s">
        <v>802</v>
      </c>
      <c r="R193" t="s">
        <v>884</v>
      </c>
      <c r="S193" t="s">
        <v>901</v>
      </c>
      <c r="AD193">
        <v>46</v>
      </c>
      <c r="AH193" s="22">
        <f>AH192+$AG$197</f>
        <v>8.999999999999998</v>
      </c>
      <c r="AJ193">
        <v>46</v>
      </c>
      <c r="AK193" s="22">
        <f>AK192+$AG$197</f>
        <v>8.999999999999998</v>
      </c>
    </row>
    <row r="194" spans="2:37" ht="12.75">
      <c r="B194" s="100">
        <v>40</v>
      </c>
      <c r="C194" s="100">
        <v>7.5</v>
      </c>
      <c r="D194" s="239">
        <f>D193</f>
        <v>1.2</v>
      </c>
      <c r="E194" s="239">
        <f>E193</f>
        <v>1.3</v>
      </c>
      <c r="F194" s="239">
        <f>F193</f>
        <v>0.9</v>
      </c>
      <c r="G194" s="239">
        <f>G193</f>
        <v>1.45</v>
      </c>
      <c r="H194" s="239">
        <f>H193</f>
        <v>1</v>
      </c>
      <c r="I194" s="239">
        <f>I193</f>
        <v>1</v>
      </c>
      <c r="J194" s="239">
        <f>J193</f>
        <v>1</v>
      </c>
      <c r="K194" s="233">
        <f>C194*D194*E194*F194*G194*H194*I194*J194</f>
        <v>15.268500000000001</v>
      </c>
      <c r="M194" s="22">
        <f>M193/10</f>
        <v>0.4071600000000002</v>
      </c>
      <c r="O194" t="s">
        <v>902</v>
      </c>
      <c r="P194" t="s">
        <v>897</v>
      </c>
      <c r="Q194" t="s">
        <v>802</v>
      </c>
      <c r="R194" t="s">
        <v>898</v>
      </c>
      <c r="S194" t="s">
        <v>903</v>
      </c>
      <c r="AD194">
        <v>47</v>
      </c>
      <c r="AH194" s="22">
        <f>AH193+$AG$197</f>
        <v>9.199999999999998</v>
      </c>
      <c r="AJ194">
        <v>47</v>
      </c>
      <c r="AK194" s="22">
        <f>AK193+$AG$197</f>
        <v>9.199999999999998</v>
      </c>
    </row>
    <row r="195" spans="2:37" ht="12.75">
      <c r="B195" s="100">
        <v>50</v>
      </c>
      <c r="C195" s="100">
        <v>9</v>
      </c>
      <c r="D195" s="239">
        <f>D194</f>
        <v>1.2</v>
      </c>
      <c r="E195" s="239">
        <f>E194</f>
        <v>1.3</v>
      </c>
      <c r="F195" s="239">
        <f>F194</f>
        <v>0.9</v>
      </c>
      <c r="G195" s="239">
        <f>G194</f>
        <v>1.45</v>
      </c>
      <c r="H195" s="239">
        <f>H194</f>
        <v>1</v>
      </c>
      <c r="I195" s="239">
        <f>I194</f>
        <v>1</v>
      </c>
      <c r="J195" s="239">
        <f>J194</f>
        <v>1</v>
      </c>
      <c r="K195" s="233">
        <f>C195*D195*E195*F195*G195*H195*I195*J195</f>
        <v>18.3222</v>
      </c>
      <c r="M195" s="22">
        <f>M194*6.1</f>
        <v>2.483676000000001</v>
      </c>
      <c r="O195" t="s">
        <v>904</v>
      </c>
      <c r="P195" t="s">
        <v>905</v>
      </c>
      <c r="Q195" t="s">
        <v>794</v>
      </c>
      <c r="R195" t="s">
        <v>906</v>
      </c>
      <c r="S195" t="s">
        <v>906</v>
      </c>
      <c r="AD195">
        <v>48</v>
      </c>
      <c r="AH195" s="22">
        <f>AH194+$AG$197</f>
        <v>9.399999999999997</v>
      </c>
      <c r="AJ195">
        <v>48</v>
      </c>
      <c r="AK195" s="22">
        <f>AK194+$AG$197</f>
        <v>9.399999999999997</v>
      </c>
    </row>
    <row r="196" spans="2:37" ht="12.75">
      <c r="B196" s="100">
        <v>60</v>
      </c>
      <c r="C196" s="239">
        <v>10.5</v>
      </c>
      <c r="D196" s="239">
        <f>D195</f>
        <v>1.2</v>
      </c>
      <c r="E196" s="239">
        <f>E195</f>
        <v>1.3</v>
      </c>
      <c r="F196" s="239">
        <f>F195</f>
        <v>0.9</v>
      </c>
      <c r="G196" s="239">
        <f>G195</f>
        <v>1.45</v>
      </c>
      <c r="H196" s="239">
        <f>H195</f>
        <v>1</v>
      </c>
      <c r="I196" s="239">
        <f>I195</f>
        <v>1</v>
      </c>
      <c r="J196" s="239">
        <f>J195</f>
        <v>1</v>
      </c>
      <c r="K196" s="233">
        <f>C196*D196*E196*F196*G196*H196*I196*J196</f>
        <v>21.375899999999998</v>
      </c>
      <c r="M196" s="22">
        <f>M195+19.3</f>
        <v>21.783676</v>
      </c>
      <c r="O196" t="s">
        <v>907</v>
      </c>
      <c r="P196" t="s">
        <v>908</v>
      </c>
      <c r="Q196" t="s">
        <v>794</v>
      </c>
      <c r="R196" t="s">
        <v>909</v>
      </c>
      <c r="S196" t="s">
        <v>905</v>
      </c>
      <c r="AD196">
        <v>49</v>
      </c>
      <c r="AH196" s="22">
        <f>AH195+$AG$197</f>
        <v>9.599999999999996</v>
      </c>
      <c r="AJ196">
        <v>49</v>
      </c>
      <c r="AK196" s="22">
        <f>AK195+$AG$197</f>
        <v>9.599999999999996</v>
      </c>
    </row>
    <row r="197" spans="2:37" ht="12.75">
      <c r="B197" s="98" t="s">
        <v>795</v>
      </c>
      <c r="C197" s="98"/>
      <c r="D197" s="98"/>
      <c r="E197" s="98"/>
      <c r="F197" s="98"/>
      <c r="G197" s="98"/>
      <c r="H197" s="98"/>
      <c r="I197" s="98"/>
      <c r="J197" s="98"/>
      <c r="K197" s="98"/>
      <c r="O197" t="s">
        <v>910</v>
      </c>
      <c r="P197" t="s">
        <v>905</v>
      </c>
      <c r="Q197" t="s">
        <v>794</v>
      </c>
      <c r="R197" t="s">
        <v>911</v>
      </c>
      <c r="S197" t="s">
        <v>912</v>
      </c>
      <c r="AD197">
        <v>50</v>
      </c>
      <c r="AE197" s="22">
        <f>S170</f>
        <v>9.8</v>
      </c>
      <c r="AF197" s="22">
        <f>AE197-AE187</f>
        <v>2.000000000000001</v>
      </c>
      <c r="AG197" s="22">
        <f>AF197/10</f>
        <v>0.2000000000000001</v>
      </c>
      <c r="AH197" s="22">
        <f>AH196+$AG$197</f>
        <v>9.799999999999995</v>
      </c>
      <c r="AJ197">
        <v>50</v>
      </c>
      <c r="AK197" s="22">
        <f>AK196+$AG$197</f>
        <v>9.799999999999995</v>
      </c>
    </row>
    <row r="198" spans="2:37" ht="12.75">
      <c r="B198" s="100">
        <v>10</v>
      </c>
      <c r="C198" s="239">
        <v>2</v>
      </c>
      <c r="D198" s="239">
        <v>1.2</v>
      </c>
      <c r="E198" s="100">
        <v>1.3</v>
      </c>
      <c r="F198" s="240">
        <v>0.9</v>
      </c>
      <c r="G198" s="240">
        <v>1.45</v>
      </c>
      <c r="H198" s="241">
        <v>1</v>
      </c>
      <c r="I198" s="239">
        <v>1</v>
      </c>
      <c r="J198" s="239">
        <v>1</v>
      </c>
      <c r="K198" s="233">
        <f>C198*D198*E198*F198*G198*H198*I198*J198</f>
        <v>4.0716</v>
      </c>
      <c r="O198" t="s">
        <v>913</v>
      </c>
      <c r="P198" t="s">
        <v>908</v>
      </c>
      <c r="Q198" t="s">
        <v>794</v>
      </c>
      <c r="R198" t="s">
        <v>909</v>
      </c>
      <c r="S198" t="s">
        <v>905</v>
      </c>
      <c r="AD198">
        <v>51</v>
      </c>
      <c r="AH198" s="22">
        <f>AH197+$AG$207</f>
        <v>9.989999999999995</v>
      </c>
      <c r="AJ198">
        <v>51</v>
      </c>
      <c r="AK198" s="22">
        <f>AK197+$AG$207</f>
        <v>9.989999999999995</v>
      </c>
    </row>
    <row r="199" spans="2:37" ht="12.75">
      <c r="B199" s="100">
        <v>20</v>
      </c>
      <c r="C199" s="239">
        <v>3.5</v>
      </c>
      <c r="D199" s="239">
        <f>D198</f>
        <v>1.2</v>
      </c>
      <c r="E199" s="239">
        <f>E198</f>
        <v>1.3</v>
      </c>
      <c r="F199" s="239">
        <f>F198</f>
        <v>0.9</v>
      </c>
      <c r="G199" s="239">
        <f>G198</f>
        <v>1.45</v>
      </c>
      <c r="H199" s="239">
        <f>H198</f>
        <v>1</v>
      </c>
      <c r="I199" s="239">
        <f>I198</f>
        <v>1</v>
      </c>
      <c r="J199" s="239">
        <f>J198</f>
        <v>1</v>
      </c>
      <c r="K199" s="233">
        <f>C199*D199*E199*F199*G199*H199*I199*J199</f>
        <v>7.125300000000001</v>
      </c>
      <c r="O199" s="68" t="s">
        <v>914</v>
      </c>
      <c r="P199" s="68" t="s">
        <v>905</v>
      </c>
      <c r="Q199" s="68" t="s">
        <v>802</v>
      </c>
      <c r="R199" s="68" t="s">
        <v>911</v>
      </c>
      <c r="S199" s="68" t="s">
        <v>915</v>
      </c>
      <c r="AD199">
        <v>52</v>
      </c>
      <c r="AH199" s="22">
        <f>AH198+$AG$207</f>
        <v>10.179999999999994</v>
      </c>
      <c r="AJ199">
        <v>52</v>
      </c>
      <c r="AK199" s="22">
        <f>AK198+$AG$207</f>
        <v>10.179999999999994</v>
      </c>
    </row>
    <row r="200" spans="2:37" ht="12.75">
      <c r="B200" s="100">
        <v>30</v>
      </c>
      <c r="C200" s="239">
        <v>5</v>
      </c>
      <c r="D200" s="239">
        <f>D199</f>
        <v>1.2</v>
      </c>
      <c r="E200" s="239">
        <f>E199</f>
        <v>1.3</v>
      </c>
      <c r="F200" s="239">
        <f>F199</f>
        <v>0.9</v>
      </c>
      <c r="G200" s="239">
        <f>G199</f>
        <v>1.45</v>
      </c>
      <c r="H200" s="239">
        <f>H199</f>
        <v>1</v>
      </c>
      <c r="I200" s="239">
        <f>I199</f>
        <v>1</v>
      </c>
      <c r="J200" s="239">
        <f>J199</f>
        <v>1</v>
      </c>
      <c r="K200" s="233">
        <f>C200*D200*E200*F200*G200*H200*I200*J200</f>
        <v>10.179</v>
      </c>
      <c r="O200" t="s">
        <v>916</v>
      </c>
      <c r="P200" t="s">
        <v>908</v>
      </c>
      <c r="Q200" t="s">
        <v>802</v>
      </c>
      <c r="R200" t="s">
        <v>909</v>
      </c>
      <c r="S200" t="s">
        <v>797</v>
      </c>
      <c r="AD200">
        <v>53</v>
      </c>
      <c r="AH200" s="22">
        <f>AH199+$AG$207</f>
        <v>10.369999999999994</v>
      </c>
      <c r="AJ200">
        <v>53</v>
      </c>
      <c r="AK200" s="22">
        <f>AK199+$AG$207</f>
        <v>10.369999999999994</v>
      </c>
    </row>
    <row r="201" spans="2:37" ht="12.75">
      <c r="B201" s="100">
        <v>40</v>
      </c>
      <c r="C201" s="100">
        <v>6</v>
      </c>
      <c r="D201" s="239">
        <f>D200</f>
        <v>1.2</v>
      </c>
      <c r="E201" s="239">
        <f>E200</f>
        <v>1.3</v>
      </c>
      <c r="F201" s="239">
        <f>F200</f>
        <v>0.9</v>
      </c>
      <c r="G201" s="239">
        <f>G200</f>
        <v>1.45</v>
      </c>
      <c r="H201" s="239">
        <f>H200</f>
        <v>1</v>
      </c>
      <c r="I201" s="239">
        <f>I200</f>
        <v>1</v>
      </c>
      <c r="J201" s="239">
        <f>J200</f>
        <v>1</v>
      </c>
      <c r="K201" s="233">
        <f>C201*D201*E201*F201*G201*H201*I201*J201</f>
        <v>12.214799999999999</v>
      </c>
      <c r="O201" t="s">
        <v>917</v>
      </c>
      <c r="P201" t="s">
        <v>905</v>
      </c>
      <c r="Q201" t="s">
        <v>802</v>
      </c>
      <c r="R201" t="s">
        <v>911</v>
      </c>
      <c r="S201" t="s">
        <v>918</v>
      </c>
      <c r="AD201">
        <v>54</v>
      </c>
      <c r="AH201" s="22">
        <f>AH200+$AG$207</f>
        <v>10.559999999999993</v>
      </c>
      <c r="AJ201">
        <v>54</v>
      </c>
      <c r="AK201" s="22">
        <f>AK200+$AG$207</f>
        <v>10.559999999999993</v>
      </c>
    </row>
    <row r="202" spans="2:37" ht="12.75">
      <c r="B202" s="100">
        <v>50</v>
      </c>
      <c r="C202" s="100">
        <v>7.5</v>
      </c>
      <c r="D202" s="239">
        <f>D201</f>
        <v>1.2</v>
      </c>
      <c r="E202" s="239">
        <f>E201</f>
        <v>1.3</v>
      </c>
      <c r="F202" s="239">
        <f>F201</f>
        <v>0.9</v>
      </c>
      <c r="G202" s="239">
        <f>G201</f>
        <v>1.45</v>
      </c>
      <c r="H202" s="239">
        <f>H201</f>
        <v>1</v>
      </c>
      <c r="I202" s="239">
        <f>I201</f>
        <v>1</v>
      </c>
      <c r="J202" s="239">
        <f>J201</f>
        <v>1</v>
      </c>
      <c r="K202" s="233">
        <f>C202*D202*E202*F202*G202*H202*I202*J202</f>
        <v>15.268500000000001</v>
      </c>
      <c r="O202" t="s">
        <v>919</v>
      </c>
      <c r="P202" t="s">
        <v>908</v>
      </c>
      <c r="Q202" t="s">
        <v>802</v>
      </c>
      <c r="R202" t="s">
        <v>909</v>
      </c>
      <c r="S202" t="s">
        <v>905</v>
      </c>
      <c r="AD202">
        <v>55</v>
      </c>
      <c r="AH202" s="22">
        <f>AH201+$AG$207</f>
        <v>10.749999999999993</v>
      </c>
      <c r="AJ202">
        <v>55</v>
      </c>
      <c r="AK202" s="22">
        <f>AK201+$AG$207</f>
        <v>10.749999999999993</v>
      </c>
    </row>
    <row r="203" spans="2:37" ht="12.75">
      <c r="B203" s="100">
        <v>60</v>
      </c>
      <c r="C203" s="239">
        <v>9</v>
      </c>
      <c r="D203" s="239">
        <f>D202</f>
        <v>1.2</v>
      </c>
      <c r="E203" s="239">
        <f>E202</f>
        <v>1.3</v>
      </c>
      <c r="F203" s="239">
        <f>F202</f>
        <v>0.9</v>
      </c>
      <c r="G203" s="239">
        <f>G202</f>
        <v>1.45</v>
      </c>
      <c r="H203" s="239">
        <f>H202</f>
        <v>1</v>
      </c>
      <c r="I203" s="239">
        <f>I202</f>
        <v>1</v>
      </c>
      <c r="J203" s="239">
        <f>J202</f>
        <v>1</v>
      </c>
      <c r="K203" s="233">
        <f>C203*D203*E203*F203*G203*H203*I203*J203</f>
        <v>18.3222</v>
      </c>
      <c r="L203" s="22">
        <f>K203-K202</f>
        <v>3.0536999999999974</v>
      </c>
      <c r="M203" s="22">
        <f>L203/10</f>
        <v>0.30536999999999975</v>
      </c>
      <c r="N203" s="22">
        <f>K202+M203*2</f>
        <v>15.879240000000001</v>
      </c>
      <c r="AD203">
        <v>56</v>
      </c>
      <c r="AH203" s="22">
        <f>AH202+$AG$207</f>
        <v>10.939999999999992</v>
      </c>
      <c r="AJ203">
        <v>56</v>
      </c>
      <c r="AK203" s="22">
        <f>AK202+$AG$207</f>
        <v>10.939999999999992</v>
      </c>
    </row>
    <row r="204" spans="2:37" ht="12.75">
      <c r="B204" s="233"/>
      <c r="C204" s="233"/>
      <c r="D204" s="233"/>
      <c r="E204" s="233"/>
      <c r="F204" s="233"/>
      <c r="G204" s="233"/>
      <c r="H204" s="233"/>
      <c r="I204" s="233"/>
      <c r="J204" s="102"/>
      <c r="K204" s="102"/>
      <c r="AD204">
        <v>57</v>
      </c>
      <c r="AH204" s="22">
        <f>AH203+$AG$207</f>
        <v>11.129999999999992</v>
      </c>
      <c r="AJ204">
        <v>57</v>
      </c>
      <c r="AK204" s="22">
        <f>AK203+$AG$207</f>
        <v>11.129999999999992</v>
      </c>
    </row>
    <row r="205" spans="30:37" ht="12.75">
      <c r="AD205">
        <v>58</v>
      </c>
      <c r="AH205" s="22">
        <f>AH204+$AG$207</f>
        <v>11.319999999999991</v>
      </c>
      <c r="AJ205">
        <v>58</v>
      </c>
      <c r="AK205" s="22">
        <f>AK204+$AG$207</f>
        <v>11.319999999999991</v>
      </c>
    </row>
    <row r="206" spans="30:37" ht="12.75">
      <c r="AD206">
        <v>59</v>
      </c>
      <c r="AH206" s="22">
        <f>AH205+$AG$207</f>
        <v>11.509999999999991</v>
      </c>
      <c r="AJ206">
        <v>59</v>
      </c>
      <c r="AK206" s="22">
        <f>AK205+$AG$207</f>
        <v>11.509999999999991</v>
      </c>
    </row>
    <row r="207" spans="30:37" ht="12.75">
      <c r="AD207">
        <v>60</v>
      </c>
      <c r="AE207" s="22">
        <f>T170</f>
        <v>11.7</v>
      </c>
      <c r="AF207" s="22">
        <f>AE207-AE197</f>
        <v>1.8999999999999986</v>
      </c>
      <c r="AG207" s="22">
        <f>AF207/10</f>
        <v>0.18999999999999986</v>
      </c>
      <c r="AH207" s="22">
        <f>AH206+$AG$207</f>
        <v>11.69999999999999</v>
      </c>
      <c r="AJ207">
        <v>60</v>
      </c>
      <c r="AK207" s="22">
        <f>AK206+$AG$207</f>
        <v>11.69999999999999</v>
      </c>
    </row>
  </sheetData>
  <sheetProtection selectLockedCells="1" selectUnlockedCells="1"/>
  <mergeCells count="45">
    <mergeCell ref="B3:H3"/>
    <mergeCell ref="B4:H4"/>
    <mergeCell ref="R4:V4"/>
    <mergeCell ref="X4:Z4"/>
    <mergeCell ref="AB4:AD4"/>
    <mergeCell ref="B19:G19"/>
    <mergeCell ref="B20:H20"/>
    <mergeCell ref="B21:H21"/>
    <mergeCell ref="J21:O21"/>
    <mergeCell ref="R21:V21"/>
    <mergeCell ref="B28:G28"/>
    <mergeCell ref="B29:H29"/>
    <mergeCell ref="J29:O29"/>
    <mergeCell ref="J36:O36"/>
    <mergeCell ref="R36:V36"/>
    <mergeCell ref="B42:G42"/>
    <mergeCell ref="B43:H43"/>
    <mergeCell ref="B57:G57"/>
    <mergeCell ref="B58:H58"/>
    <mergeCell ref="B65:G65"/>
    <mergeCell ref="B68:H68"/>
    <mergeCell ref="B87:G87"/>
    <mergeCell ref="B88:H88"/>
    <mergeCell ref="B97:G97"/>
    <mergeCell ref="B98:H98"/>
    <mergeCell ref="B113:G113"/>
    <mergeCell ref="B115:H115"/>
    <mergeCell ref="B124:G124"/>
    <mergeCell ref="B126:G126"/>
    <mergeCell ref="B154:I154"/>
    <mergeCell ref="O155:AA155"/>
    <mergeCell ref="O156:T157"/>
    <mergeCell ref="V156:AA157"/>
    <mergeCell ref="O158:T158"/>
    <mergeCell ref="V158:AA158"/>
    <mergeCell ref="O164:AA164"/>
    <mergeCell ref="O165:T166"/>
    <mergeCell ref="V165:AA166"/>
    <mergeCell ref="O167:T167"/>
    <mergeCell ref="V167:AA167"/>
    <mergeCell ref="B179:K179"/>
    <mergeCell ref="C180:K180"/>
    <mergeCell ref="B183:K183"/>
    <mergeCell ref="B190:K190"/>
    <mergeCell ref="B197:K197"/>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3:AK127"/>
  <sheetViews>
    <sheetView zoomScale="90" zoomScaleNormal="90" workbookViewId="0" topLeftCell="A1">
      <selection activeCell="H36" sqref="H36"/>
    </sheetView>
  </sheetViews>
  <sheetFormatPr defaultColWidth="12.57421875" defaultRowHeight="12.75"/>
  <cols>
    <col min="1" max="1" width="11.57421875" style="0" customWidth="1"/>
    <col min="2" max="2" width="19.8515625" style="0" customWidth="1"/>
    <col min="3" max="3" width="14.8515625" style="0" customWidth="1"/>
    <col min="4" max="4" width="16.421875" style="0" customWidth="1"/>
    <col min="5" max="5" width="18.140625" style="0" customWidth="1"/>
    <col min="6" max="6" width="19.28125" style="0" customWidth="1"/>
    <col min="7" max="7" width="16.28125" style="0" customWidth="1"/>
    <col min="8" max="8" width="17.57421875" style="0" customWidth="1"/>
    <col min="9" max="9" width="21.140625" style="0" customWidth="1"/>
    <col min="10" max="10" width="14.57421875" style="0" customWidth="1"/>
    <col min="11" max="14" width="11.57421875" style="0" customWidth="1"/>
    <col min="15" max="15" width="15.8515625" style="0" customWidth="1"/>
    <col min="16" max="17" width="11.57421875" style="0" customWidth="1"/>
    <col min="18" max="18" width="9.140625" style="0" customWidth="1"/>
    <col min="19" max="20" width="11.57421875" style="0" customWidth="1"/>
    <col min="21" max="21" width="3.57421875" style="0" customWidth="1"/>
    <col min="22" max="16384" width="11.57421875" style="0" customWidth="1"/>
  </cols>
  <sheetData>
    <row r="3" spans="2:15" ht="12.75" customHeight="1">
      <c r="B3" s="110" t="s">
        <v>920</v>
      </c>
      <c r="C3" s="110"/>
      <c r="D3" s="110"/>
      <c r="E3" s="110"/>
      <c r="F3" s="110"/>
      <c r="G3" s="110"/>
      <c r="I3" s="111" t="s">
        <v>533</v>
      </c>
      <c r="J3" s="112" t="s">
        <v>534</v>
      </c>
      <c r="K3" s="109"/>
      <c r="L3" s="109"/>
      <c r="M3" s="109"/>
      <c r="N3" s="109"/>
      <c r="O3" s="109"/>
    </row>
    <row r="4" spans="2:30" ht="12.75" customHeight="1">
      <c r="B4" s="98" t="s">
        <v>921</v>
      </c>
      <c r="C4" s="98"/>
      <c r="D4" s="98"/>
      <c r="E4" s="98"/>
      <c r="F4" s="98"/>
      <c r="G4" s="98"/>
      <c r="I4" s="42" t="str">
        <f>B4</f>
        <v>House Wrap</v>
      </c>
      <c r="J4" s="118">
        <f>G9</f>
        <v>655.2873853658538</v>
      </c>
      <c r="K4" s="115"/>
      <c r="L4" s="115"/>
      <c r="M4" s="115"/>
      <c r="N4" s="115"/>
      <c r="O4" s="115"/>
      <c r="R4" s="178"/>
      <c r="S4" s="178"/>
      <c r="T4" s="178"/>
      <c r="U4" s="178"/>
      <c r="V4" s="178"/>
      <c r="X4" s="178"/>
      <c r="Y4" s="178"/>
      <c r="Z4" s="178"/>
      <c r="AB4" s="178"/>
      <c r="AC4" s="178"/>
      <c r="AD4" s="178"/>
    </row>
    <row r="5" spans="2:30" ht="12.75" customHeight="1">
      <c r="B5" s="125" t="s">
        <v>542</v>
      </c>
      <c r="C5" s="126" t="s">
        <v>685</v>
      </c>
      <c r="D5" s="126" t="s">
        <v>922</v>
      </c>
      <c r="E5" s="126" t="s">
        <v>544</v>
      </c>
      <c r="F5" s="126" t="s">
        <v>545</v>
      </c>
      <c r="G5" s="152" t="s">
        <v>6</v>
      </c>
      <c r="I5" s="42" t="str">
        <f>B10</f>
        <v>Siding</v>
      </c>
      <c r="J5" s="118">
        <f>G16</f>
        <v>5896.953181257143</v>
      </c>
      <c r="K5" s="115"/>
      <c r="L5" s="115"/>
      <c r="M5" s="115"/>
      <c r="N5" s="115"/>
      <c r="O5" s="115"/>
      <c r="R5" s="178"/>
      <c r="S5" s="178"/>
      <c r="T5" s="178"/>
      <c r="U5" s="178"/>
      <c r="V5" s="178"/>
      <c r="X5" s="178"/>
      <c r="Y5" s="178"/>
      <c r="Z5" s="178"/>
      <c r="AB5" s="178"/>
      <c r="AC5" s="178"/>
      <c r="AD5" s="178"/>
    </row>
    <row r="6" spans="2:30" ht="12.75" customHeight="1">
      <c r="B6" s="114" t="s">
        <v>923</v>
      </c>
      <c r="C6" s="115">
        <f>96+52+32+16+32+16+32+52+36+36</f>
        <v>400</v>
      </c>
      <c r="D6" s="72">
        <v>9</v>
      </c>
      <c r="E6" s="115">
        <f>C6*D6*1.15</f>
        <v>4140</v>
      </c>
      <c r="F6" s="117">
        <f>Retail_Prices!$H$114</f>
        <v>0.13283111111111112</v>
      </c>
      <c r="G6" s="118">
        <f>F6*E6</f>
        <v>549.9208000000001</v>
      </c>
      <c r="I6" s="42" t="str">
        <f>B17</f>
        <v>Exterior Trim</v>
      </c>
      <c r="J6" s="118">
        <f>G27</f>
        <v>1643.3718800000001</v>
      </c>
      <c r="K6" s="115"/>
      <c r="L6" s="115"/>
      <c r="M6" s="115"/>
      <c r="N6" s="115"/>
      <c r="O6" s="115"/>
      <c r="R6" s="178"/>
      <c r="S6" s="178"/>
      <c r="T6" s="178"/>
      <c r="U6" s="178"/>
      <c r="V6" s="178"/>
      <c r="X6" s="178"/>
      <c r="Y6" s="178"/>
      <c r="Z6" s="178"/>
      <c r="AB6" s="178"/>
      <c r="AC6" s="178"/>
      <c r="AD6" s="178"/>
    </row>
    <row r="7" spans="2:30" ht="12.75" customHeight="1">
      <c r="B7" s="155" t="s">
        <v>924</v>
      </c>
      <c r="C7" s="115">
        <f>96+52+32+16+32+16+32+52+36+36</f>
        <v>400</v>
      </c>
      <c r="D7" s="72" t="s">
        <v>925</v>
      </c>
      <c r="E7" s="115">
        <f>C7*2*1.5</f>
        <v>1200</v>
      </c>
      <c r="F7" s="117">
        <f>Retail_Prices!$H$115</f>
        <v>0.08780548780487805</v>
      </c>
      <c r="G7" s="118">
        <f>F7*E7</f>
        <v>105.36658536585367</v>
      </c>
      <c r="I7" s="42"/>
      <c r="J7" s="118"/>
      <c r="K7" s="115"/>
      <c r="L7" s="115"/>
      <c r="M7" s="115"/>
      <c r="N7" s="115"/>
      <c r="O7" s="115"/>
      <c r="R7" s="178"/>
      <c r="S7" s="178"/>
      <c r="T7" s="178"/>
      <c r="U7" s="178"/>
      <c r="V7" s="178"/>
      <c r="X7" s="178"/>
      <c r="Y7" s="178"/>
      <c r="Z7" s="178"/>
      <c r="AB7" s="178"/>
      <c r="AC7" s="178"/>
      <c r="AD7" s="178"/>
    </row>
    <row r="8" spans="2:30" ht="12.75" customHeight="1">
      <c r="B8" s="42"/>
      <c r="C8" s="115"/>
      <c r="D8" s="72"/>
      <c r="E8" s="115"/>
      <c r="F8" s="72"/>
      <c r="G8" s="118"/>
      <c r="I8" s="42"/>
      <c r="J8" s="118"/>
      <c r="K8" s="115"/>
      <c r="L8" s="115"/>
      <c r="M8" s="115"/>
      <c r="N8" s="115"/>
      <c r="O8" s="115"/>
      <c r="R8" s="178"/>
      <c r="S8" s="178"/>
      <c r="T8" s="178"/>
      <c r="U8" s="178"/>
      <c r="V8" s="178"/>
      <c r="X8" s="178"/>
      <c r="Y8" s="178"/>
      <c r="Z8" s="178"/>
      <c r="AB8" s="178"/>
      <c r="AC8" s="178"/>
      <c r="AD8" s="178"/>
    </row>
    <row r="9" spans="2:30" ht="12.75" customHeight="1">
      <c r="B9" s="182" t="s">
        <v>6</v>
      </c>
      <c r="C9" s="182"/>
      <c r="D9" s="182"/>
      <c r="E9" s="182"/>
      <c r="F9" s="182"/>
      <c r="G9" s="144">
        <f>SUM(G6:G8)</f>
        <v>655.2873853658538</v>
      </c>
      <c r="I9" s="42"/>
      <c r="J9" s="118"/>
      <c r="K9" s="115"/>
      <c r="L9" s="115"/>
      <c r="M9" s="115"/>
      <c r="N9" s="115"/>
      <c r="O9" s="115"/>
      <c r="R9" s="178"/>
      <c r="S9" s="178"/>
      <c r="T9" s="178"/>
      <c r="U9" s="178"/>
      <c r="V9" s="178"/>
      <c r="X9" s="178"/>
      <c r="Y9" s="178"/>
      <c r="Z9" s="178"/>
      <c r="AB9" s="178"/>
      <c r="AC9" s="178"/>
      <c r="AD9" s="178"/>
    </row>
    <row r="10" spans="2:30" ht="12.75" customHeight="1">
      <c r="B10" s="98" t="s">
        <v>920</v>
      </c>
      <c r="C10" s="98"/>
      <c r="D10" s="98"/>
      <c r="E10" s="98"/>
      <c r="F10" s="98"/>
      <c r="G10" s="98"/>
      <c r="I10" s="42"/>
      <c r="J10" s="7"/>
      <c r="K10" s="115"/>
      <c r="L10" s="115"/>
      <c r="M10" s="115"/>
      <c r="N10" s="115"/>
      <c r="O10" s="115"/>
      <c r="R10" s="178"/>
      <c r="S10" s="178"/>
      <c r="T10" s="178"/>
      <c r="U10" s="178"/>
      <c r="V10" s="178"/>
      <c r="X10" s="178"/>
      <c r="Y10" s="178"/>
      <c r="Z10" s="178"/>
      <c r="AB10" s="178"/>
      <c r="AC10" s="178"/>
      <c r="AD10" s="178"/>
    </row>
    <row r="11" spans="2:30" ht="12.75">
      <c r="B11" s="125" t="s">
        <v>542</v>
      </c>
      <c r="C11" s="126" t="s">
        <v>685</v>
      </c>
      <c r="D11" s="126" t="s">
        <v>926</v>
      </c>
      <c r="E11" s="126" t="s">
        <v>927</v>
      </c>
      <c r="F11" s="126" t="s">
        <v>639</v>
      </c>
      <c r="G11" s="127" t="s">
        <v>6</v>
      </c>
      <c r="I11" s="123" t="s">
        <v>6</v>
      </c>
      <c r="J11" s="181">
        <f>SUM(J4:J10)</f>
        <v>8195.612446622996</v>
      </c>
      <c r="K11" s="115"/>
      <c r="L11" s="72"/>
      <c r="M11" s="115"/>
      <c r="N11" s="72"/>
      <c r="O11" s="115"/>
      <c r="R11" s="97"/>
      <c r="V11" s="57"/>
      <c r="X11" s="97"/>
      <c r="AB11" s="179"/>
      <c r="AC11" s="22"/>
      <c r="AD11" s="57"/>
    </row>
    <row r="12" spans="2:30" ht="12.75">
      <c r="B12" s="114" t="s">
        <v>928</v>
      </c>
      <c r="C12" s="115">
        <f>96+52+32+16+32+16+32+52+36+36</f>
        <v>400</v>
      </c>
      <c r="D12" s="72">
        <v>9</v>
      </c>
      <c r="E12" s="115">
        <f>C12*D12*1.15</f>
        <v>4140</v>
      </c>
      <c r="F12" s="117">
        <f>Retail_Prices!$H$117</f>
        <v>1.3538422857142858</v>
      </c>
      <c r="G12" s="118">
        <f>E12*F12</f>
        <v>5604.9070628571435</v>
      </c>
      <c r="K12" s="115"/>
      <c r="L12" s="72"/>
      <c r="M12" s="115"/>
      <c r="N12" s="72"/>
      <c r="O12" s="115"/>
      <c r="R12" s="97"/>
      <c r="S12" s="22"/>
      <c r="V12" s="57"/>
      <c r="X12" s="97"/>
      <c r="Z12" s="57"/>
      <c r="AB12" s="97"/>
      <c r="AC12" s="22"/>
      <c r="AD12" s="57"/>
    </row>
    <row r="13" spans="2:30" ht="12.75">
      <c r="B13" s="114" t="s">
        <v>699</v>
      </c>
      <c r="C13" s="115">
        <f>96+52+32+16+32+16+32+52+36+36</f>
        <v>400</v>
      </c>
      <c r="D13" s="72">
        <v>9</v>
      </c>
      <c r="E13" s="115">
        <f>C13*(D13*2)*1.2</f>
        <v>8640</v>
      </c>
      <c r="F13" s="117">
        <f>Retail_Prices!$H$120</f>
        <v>0.0048664488888888885</v>
      </c>
      <c r="G13" s="118">
        <f>E13*F13</f>
        <v>42.0461184</v>
      </c>
      <c r="K13" s="115"/>
      <c r="L13" s="72"/>
      <c r="M13" s="115"/>
      <c r="N13" s="72"/>
      <c r="O13" s="115"/>
      <c r="R13" s="97"/>
      <c r="S13" s="22"/>
      <c r="V13" s="57"/>
      <c r="X13" s="97"/>
      <c r="Z13" s="57"/>
      <c r="AB13" s="97"/>
      <c r="AD13" s="57"/>
    </row>
    <row r="14" spans="2:30" ht="12.75">
      <c r="B14" s="114" t="s">
        <v>929</v>
      </c>
      <c r="C14" s="115"/>
      <c r="D14" s="72"/>
      <c r="E14" s="115"/>
      <c r="F14" s="72"/>
      <c r="G14" s="118">
        <v>250</v>
      </c>
      <c r="J14" s="115"/>
      <c r="K14" s="115"/>
      <c r="L14" s="72"/>
      <c r="M14" s="115"/>
      <c r="N14" s="72"/>
      <c r="O14" s="115"/>
      <c r="R14" s="97"/>
      <c r="V14" s="57"/>
      <c r="X14" s="97"/>
      <c r="Z14" s="57"/>
      <c r="AB14" s="97"/>
      <c r="AD14" s="57"/>
    </row>
    <row r="15" spans="2:30" ht="12.75">
      <c r="B15" s="42"/>
      <c r="C15" s="115"/>
      <c r="D15" s="72"/>
      <c r="E15" s="115"/>
      <c r="F15" s="72"/>
      <c r="G15" s="118"/>
      <c r="J15" s="115"/>
      <c r="K15" s="115"/>
      <c r="L15" s="115"/>
      <c r="M15" s="115"/>
      <c r="N15" s="72"/>
      <c r="O15" s="115"/>
      <c r="R15" s="97"/>
      <c r="S15" s="22"/>
      <c r="V15" s="57"/>
      <c r="X15" s="60"/>
      <c r="Y15" s="28"/>
      <c r="Z15" s="60"/>
      <c r="AB15" s="60"/>
      <c r="AC15" s="28"/>
      <c r="AD15" s="60"/>
    </row>
    <row r="16" spans="2:30" ht="12.75" customHeight="1">
      <c r="B16" s="182" t="s">
        <v>6</v>
      </c>
      <c r="C16" s="182"/>
      <c r="D16" s="182"/>
      <c r="E16" s="182"/>
      <c r="F16" s="182"/>
      <c r="G16" s="144">
        <f>SUM(G12:G15)</f>
        <v>5896.953181257143</v>
      </c>
      <c r="J16" s="183"/>
      <c r="K16" s="96"/>
      <c r="L16" s="115"/>
      <c r="M16" s="115"/>
      <c r="N16" s="72"/>
      <c r="O16" s="115"/>
      <c r="R16" s="97"/>
      <c r="S16" s="22"/>
      <c r="V16" s="57"/>
      <c r="X16" s="97"/>
      <c r="Z16" s="57"/>
      <c r="AB16" s="97"/>
      <c r="AD16" s="57"/>
    </row>
    <row r="17" spans="2:30" ht="12.75" customHeight="1">
      <c r="B17" s="98" t="s">
        <v>20</v>
      </c>
      <c r="C17" s="98"/>
      <c r="D17" s="98"/>
      <c r="E17" s="98"/>
      <c r="F17" s="98"/>
      <c r="G17" s="98"/>
      <c r="J17" s="183"/>
      <c r="K17" s="96"/>
      <c r="L17" s="72"/>
      <c r="M17" s="115"/>
      <c r="N17" s="72"/>
      <c r="O17" s="115"/>
      <c r="R17" s="97"/>
      <c r="S17" s="22"/>
      <c r="V17" s="57"/>
      <c r="X17" s="97"/>
      <c r="Y17" s="57"/>
      <c r="Z17" s="57"/>
      <c r="AB17" s="97"/>
      <c r="AC17" s="57"/>
      <c r="AD17" s="57"/>
    </row>
    <row r="18" spans="2:30" ht="12.75">
      <c r="B18" s="125" t="s">
        <v>542</v>
      </c>
      <c r="C18" s="126" t="s">
        <v>607</v>
      </c>
      <c r="D18" s="126" t="s">
        <v>930</v>
      </c>
      <c r="E18" s="126" t="s">
        <v>931</v>
      </c>
      <c r="F18" s="126" t="s">
        <v>639</v>
      </c>
      <c r="G18" s="127" t="s">
        <v>6</v>
      </c>
      <c r="J18" s="183"/>
      <c r="K18" s="96"/>
      <c r="L18" s="72"/>
      <c r="M18" s="115"/>
      <c r="N18" s="72"/>
      <c r="O18" s="115"/>
      <c r="R18" s="97"/>
      <c r="S18" s="22"/>
      <c r="V18" s="57"/>
      <c r="X18" s="97"/>
      <c r="Y18" s="57"/>
      <c r="Z18" s="57"/>
      <c r="AB18" s="97"/>
      <c r="AC18" s="57"/>
      <c r="AD18" s="57"/>
    </row>
    <row r="19" spans="2:30" ht="12.75">
      <c r="B19" s="114" t="s">
        <v>932</v>
      </c>
      <c r="C19" s="115">
        <v>8</v>
      </c>
      <c r="D19" s="72">
        <v>9</v>
      </c>
      <c r="E19" s="115">
        <f>C19*D19*2</f>
        <v>144</v>
      </c>
      <c r="F19" s="117">
        <f>Retail_Prices!$H$119</f>
        <v>1.236235</v>
      </c>
      <c r="G19" s="118">
        <f>E19*F19</f>
        <v>178.01784</v>
      </c>
      <c r="J19" s="183"/>
      <c r="K19" s="96"/>
      <c r="L19" s="72"/>
      <c r="M19" s="115"/>
      <c r="N19" s="72"/>
      <c r="O19" s="115"/>
      <c r="R19" s="97"/>
      <c r="V19" s="57"/>
      <c r="X19" s="97"/>
      <c r="Y19" s="57"/>
      <c r="Z19" s="57"/>
      <c r="AB19" s="97"/>
      <c r="AC19" s="57"/>
      <c r="AD19" s="57"/>
    </row>
    <row r="20" spans="2:22" ht="12.75">
      <c r="B20" s="114" t="s">
        <v>933</v>
      </c>
      <c r="C20" s="115">
        <v>4</v>
      </c>
      <c r="D20" s="72">
        <v>18</v>
      </c>
      <c r="E20" s="115">
        <f>C20*D20*2</f>
        <v>144</v>
      </c>
      <c r="F20" s="117">
        <f>Retail_Prices!$H$119</f>
        <v>1.236235</v>
      </c>
      <c r="G20" s="118">
        <f>E20*F20</f>
        <v>178.01784</v>
      </c>
      <c r="J20" s="183"/>
      <c r="K20" s="96"/>
      <c r="L20" s="72"/>
      <c r="M20" s="115"/>
      <c r="N20" s="72"/>
      <c r="O20" s="115"/>
      <c r="R20" s="97"/>
      <c r="S20" s="57"/>
      <c r="T20" s="57"/>
      <c r="U20" s="57"/>
      <c r="V20" s="57"/>
    </row>
    <row r="21" spans="2:22" ht="12.75">
      <c r="B21" s="114" t="s">
        <v>181</v>
      </c>
      <c r="C21" s="115">
        <v>1</v>
      </c>
      <c r="D21" s="115">
        <f>12+7+7</f>
        <v>26</v>
      </c>
      <c r="E21" s="115">
        <f>C21*D21*2</f>
        <v>52</v>
      </c>
      <c r="F21" s="117">
        <f>Retail_Prices!$H$119</f>
        <v>1.236235</v>
      </c>
      <c r="G21" s="118">
        <f>E21*F21</f>
        <v>64.28422</v>
      </c>
      <c r="J21" s="183"/>
      <c r="K21" s="96"/>
      <c r="L21" s="72"/>
      <c r="M21" s="115"/>
      <c r="N21" s="72"/>
      <c r="O21" s="115"/>
      <c r="R21" s="97"/>
      <c r="S21" s="57"/>
      <c r="T21" s="57"/>
      <c r="U21" s="57"/>
      <c r="V21" s="57"/>
    </row>
    <row r="22" spans="2:22" ht="12.75">
      <c r="B22" s="114" t="s">
        <v>39</v>
      </c>
      <c r="C22" s="115">
        <v>1</v>
      </c>
      <c r="D22" s="72">
        <f>32+9+9</f>
        <v>50</v>
      </c>
      <c r="E22" s="115">
        <f>C22*D22*2</f>
        <v>100</v>
      </c>
      <c r="F22" s="117">
        <f>Retail_Prices!$H$119</f>
        <v>1.236235</v>
      </c>
      <c r="G22" s="118">
        <f>E22*F22</f>
        <v>123.62349999999999</v>
      </c>
      <c r="J22" s="183"/>
      <c r="K22" s="96"/>
      <c r="L22" s="72"/>
      <c r="M22" s="115"/>
      <c r="N22" s="72"/>
      <c r="O22" s="115"/>
      <c r="R22" s="97"/>
      <c r="S22" s="57"/>
      <c r="T22" s="57"/>
      <c r="U22" s="57"/>
      <c r="V22" s="57"/>
    </row>
    <row r="23" spans="2:15" ht="12.75" customHeight="1">
      <c r="B23" s="114" t="s">
        <v>22</v>
      </c>
      <c r="C23" s="115">
        <v>16</v>
      </c>
      <c r="D23" s="72">
        <f>6*4</f>
        <v>24</v>
      </c>
      <c r="E23" s="115">
        <f>C23*D23*2</f>
        <v>768</v>
      </c>
      <c r="F23" s="117">
        <f>Retail_Prices!$H$119</f>
        <v>1.236235</v>
      </c>
      <c r="G23" s="118">
        <f>E23*F23</f>
        <v>949.42848</v>
      </c>
      <c r="J23" s="115"/>
      <c r="K23" s="115"/>
      <c r="L23" s="115"/>
      <c r="M23" s="115"/>
      <c r="N23" s="72"/>
      <c r="O23" s="115"/>
    </row>
    <row r="24" spans="2:15" ht="12.75" customHeight="1">
      <c r="B24" s="114" t="s">
        <v>699</v>
      </c>
      <c r="C24" s="115"/>
      <c r="D24" s="72"/>
      <c r="E24" s="115"/>
      <c r="F24" s="117"/>
      <c r="G24" s="118">
        <v>50</v>
      </c>
      <c r="J24" s="183"/>
      <c r="K24" s="96"/>
      <c r="L24" s="96"/>
      <c r="M24" s="96"/>
      <c r="N24" s="96"/>
      <c r="O24" s="96"/>
    </row>
    <row r="25" spans="2:22" ht="12.75" customHeight="1">
      <c r="B25" s="114" t="s">
        <v>934</v>
      </c>
      <c r="C25" s="115"/>
      <c r="D25" s="115"/>
      <c r="E25" s="115"/>
      <c r="F25" s="72"/>
      <c r="G25" s="118">
        <v>100</v>
      </c>
      <c r="J25" s="96"/>
      <c r="K25" s="96"/>
      <c r="L25" s="96"/>
      <c r="M25" s="96"/>
      <c r="N25" s="96"/>
      <c r="O25" s="96"/>
      <c r="R25" s="178"/>
      <c r="S25" s="178"/>
      <c r="T25" s="178"/>
      <c r="U25" s="178"/>
      <c r="V25" s="178"/>
    </row>
    <row r="26" spans="2:22" ht="12.75">
      <c r="B26" s="42"/>
      <c r="C26" s="115"/>
      <c r="D26" s="115"/>
      <c r="E26" s="115"/>
      <c r="F26" s="72"/>
      <c r="G26" s="113"/>
      <c r="J26" s="115"/>
      <c r="K26" s="115"/>
      <c r="L26" s="72"/>
      <c r="M26" s="115"/>
      <c r="N26" s="72"/>
      <c r="O26" s="115"/>
      <c r="R26" s="97"/>
      <c r="V26" s="57"/>
    </row>
    <row r="27" spans="2:26" ht="12.75" customHeight="1">
      <c r="B27" s="197" t="s">
        <v>6</v>
      </c>
      <c r="C27" s="197"/>
      <c r="D27" s="197"/>
      <c r="E27" s="197"/>
      <c r="F27" s="197"/>
      <c r="G27" s="121">
        <f>SUM(G19:G26)</f>
        <v>1643.3718800000001</v>
      </c>
      <c r="J27" s="115"/>
      <c r="K27" s="115"/>
      <c r="L27" s="72"/>
      <c r="M27" s="115"/>
      <c r="N27" s="72"/>
      <c r="O27" s="115"/>
      <c r="R27" s="97"/>
      <c r="S27" s="22"/>
      <c r="V27" s="57"/>
      <c r="X27" s="57"/>
      <c r="Z27" s="57"/>
    </row>
    <row r="28" spans="2:26" ht="12.75" customHeight="1">
      <c r="B28" s="98" t="s">
        <v>935</v>
      </c>
      <c r="C28" s="98"/>
      <c r="D28" s="98"/>
      <c r="E28" s="98"/>
      <c r="F28" s="98"/>
      <c r="G28" s="98"/>
      <c r="J28" s="115"/>
      <c r="K28" s="115"/>
      <c r="L28" s="72"/>
      <c r="M28" s="115"/>
      <c r="N28" s="72"/>
      <c r="O28" s="115"/>
      <c r="R28" s="97"/>
      <c r="S28" s="22"/>
      <c r="V28" s="57"/>
      <c r="X28" s="57"/>
      <c r="Z28" s="57"/>
    </row>
    <row r="29" spans="2:26" ht="12.75">
      <c r="B29" s="125" t="s">
        <v>542</v>
      </c>
      <c r="C29" s="126"/>
      <c r="D29" s="126"/>
      <c r="E29" s="126"/>
      <c r="F29" s="126" t="s">
        <v>639</v>
      </c>
      <c r="G29" s="127" t="s">
        <v>6</v>
      </c>
      <c r="J29" s="115"/>
      <c r="K29" s="115"/>
      <c r="L29" s="72"/>
      <c r="M29" s="115"/>
      <c r="N29" s="72"/>
      <c r="O29" s="115"/>
      <c r="R29" s="97"/>
      <c r="V29" s="57"/>
      <c r="X29" s="57"/>
      <c r="Y29" s="57"/>
      <c r="Z29" s="57"/>
    </row>
    <row r="30" spans="2:26" ht="12.75">
      <c r="B30" s="114" t="s">
        <v>936</v>
      </c>
      <c r="C30" s="115"/>
      <c r="D30" s="72"/>
      <c r="E30" s="115"/>
      <c r="F30" s="117">
        <v>0</v>
      </c>
      <c r="G30" s="118">
        <f>E30*F30</f>
        <v>0</v>
      </c>
      <c r="J30" s="115"/>
      <c r="K30" s="115"/>
      <c r="L30" s="72"/>
      <c r="M30" s="115"/>
      <c r="N30" s="72"/>
      <c r="O30" s="115"/>
      <c r="R30" s="97"/>
      <c r="V30" s="57"/>
      <c r="X30" s="57"/>
      <c r="Y30" s="57"/>
      <c r="Z30" s="57"/>
    </row>
    <row r="31" spans="2:26" ht="12.75">
      <c r="B31" s="114"/>
      <c r="C31" s="115"/>
      <c r="D31" s="72"/>
      <c r="E31" s="115"/>
      <c r="F31" s="117"/>
      <c r="G31" s="118"/>
      <c r="J31" s="115"/>
      <c r="K31" s="115"/>
      <c r="L31" s="72"/>
      <c r="M31" s="115"/>
      <c r="N31" s="72"/>
      <c r="O31" s="115"/>
      <c r="R31" s="97"/>
      <c r="V31" s="57"/>
      <c r="X31" s="57"/>
      <c r="Y31" s="57"/>
      <c r="Z31" s="57"/>
    </row>
    <row r="32" spans="2:26" ht="12.75" customHeight="1">
      <c r="B32" s="114"/>
      <c r="C32" s="115"/>
      <c r="D32" s="72"/>
      <c r="E32" s="115"/>
      <c r="F32" s="72"/>
      <c r="G32" s="118"/>
      <c r="J32" s="115"/>
      <c r="K32" s="115"/>
      <c r="L32" s="115"/>
      <c r="M32" s="115"/>
      <c r="N32" s="72"/>
      <c r="O32" s="115"/>
      <c r="R32" s="97"/>
      <c r="S32" s="22"/>
      <c r="V32" s="57"/>
      <c r="X32" s="57"/>
      <c r="Y32" s="57"/>
      <c r="Z32" s="57"/>
    </row>
    <row r="33" spans="2:22" ht="12.75" customHeight="1">
      <c r="B33" s="42"/>
      <c r="C33" s="115"/>
      <c r="D33" s="72"/>
      <c r="E33" s="115"/>
      <c r="F33" s="72"/>
      <c r="G33" s="118"/>
      <c r="J33" s="96"/>
      <c r="K33" s="96"/>
      <c r="L33" s="96"/>
      <c r="M33" s="96"/>
      <c r="N33" s="96"/>
      <c r="O33" s="96"/>
      <c r="R33" s="97"/>
      <c r="S33" s="22"/>
      <c r="V33" s="57"/>
    </row>
    <row r="34" spans="2:22" ht="12.75" customHeight="1">
      <c r="B34" s="197" t="s">
        <v>6</v>
      </c>
      <c r="C34" s="197"/>
      <c r="D34" s="197"/>
      <c r="E34" s="197"/>
      <c r="F34" s="197"/>
      <c r="G34" s="121">
        <f>SUM(G30:G33)</f>
        <v>0</v>
      </c>
      <c r="J34" s="115"/>
      <c r="K34" s="115"/>
      <c r="L34" s="72"/>
      <c r="M34" s="115"/>
      <c r="N34" s="72"/>
      <c r="O34" s="115"/>
      <c r="R34" s="97"/>
      <c r="S34" s="22"/>
      <c r="V34" s="57"/>
    </row>
    <row r="35" spans="2:22" ht="12.75">
      <c r="B35" s="160"/>
      <c r="C35" s="160"/>
      <c r="D35" s="160"/>
      <c r="E35" s="160"/>
      <c r="F35" s="160"/>
      <c r="G35" s="160"/>
      <c r="J35" s="115"/>
      <c r="K35" s="115"/>
      <c r="L35" s="72"/>
      <c r="M35" s="115"/>
      <c r="N35" s="72"/>
      <c r="O35" s="115"/>
      <c r="R35" s="97"/>
      <c r="S35" s="22"/>
      <c r="V35" s="57"/>
    </row>
    <row r="36" spans="2:22" ht="12.75">
      <c r="B36" s="175" t="s">
        <v>6</v>
      </c>
      <c r="C36" s="176"/>
      <c r="D36" s="176"/>
      <c r="E36" s="176"/>
      <c r="F36" s="176"/>
      <c r="G36" s="177">
        <f>G9+G16+G27+G34</f>
        <v>8195.612446622998</v>
      </c>
      <c r="J36" s="115"/>
      <c r="K36" s="115"/>
      <c r="L36" s="72"/>
      <c r="M36" s="115"/>
      <c r="N36" s="72"/>
      <c r="O36" s="115"/>
      <c r="R36" s="97"/>
      <c r="V36" s="57"/>
    </row>
    <row r="37" spans="1:22" ht="12.75">
      <c r="A37" s="170"/>
      <c r="B37" s="146"/>
      <c r="C37" s="146"/>
      <c r="D37" s="147"/>
      <c r="E37" s="146"/>
      <c r="F37" s="148"/>
      <c r="G37" s="242"/>
      <c r="H37" s="170"/>
      <c r="I37" s="170"/>
      <c r="J37" s="146"/>
      <c r="K37" s="115"/>
      <c r="L37" s="72"/>
      <c r="M37" s="115"/>
      <c r="N37" s="72"/>
      <c r="O37" s="115"/>
      <c r="R37" s="97"/>
      <c r="S37" s="57"/>
      <c r="T37" s="57"/>
      <c r="U37" s="57"/>
      <c r="V37" s="57"/>
    </row>
    <row r="38" spans="1:15" ht="12.75">
      <c r="A38" s="170"/>
      <c r="B38" s="146"/>
      <c r="C38" s="146"/>
      <c r="D38" s="165"/>
      <c r="E38" s="146"/>
      <c r="F38" s="243"/>
      <c r="G38" s="242"/>
      <c r="H38" s="170"/>
      <c r="I38" s="170"/>
      <c r="J38" s="146"/>
      <c r="K38" s="115"/>
      <c r="L38" s="72"/>
      <c r="M38" s="115"/>
      <c r="N38" s="72"/>
      <c r="O38" s="115"/>
    </row>
    <row r="39" spans="1:15" ht="12.75">
      <c r="A39" s="170"/>
      <c r="B39" s="146"/>
      <c r="C39" s="165"/>
      <c r="D39" s="165"/>
      <c r="E39" s="165"/>
      <c r="F39" s="148"/>
      <c r="G39" s="242"/>
      <c r="H39" s="170"/>
      <c r="I39" s="170"/>
      <c r="J39" s="146"/>
      <c r="K39" s="115"/>
      <c r="L39" s="72"/>
      <c r="M39" s="115"/>
      <c r="N39" s="72"/>
      <c r="O39" s="115"/>
    </row>
    <row r="40" spans="1:28" ht="12.75">
      <c r="A40" s="170"/>
      <c r="B40" s="146"/>
      <c r="C40" s="165"/>
      <c r="D40" s="165"/>
      <c r="E40" s="165"/>
      <c r="F40" s="148"/>
      <c r="G40" s="242"/>
      <c r="H40" s="170"/>
      <c r="I40" s="170"/>
      <c r="J40" s="244"/>
      <c r="K40" s="96"/>
      <c r="L40" s="96"/>
      <c r="M40" s="96"/>
      <c r="N40" s="96"/>
      <c r="O40" s="96"/>
      <c r="R40" s="178"/>
      <c r="S40" s="178"/>
      <c r="T40" s="178"/>
      <c r="U40" s="178"/>
      <c r="V40" s="178"/>
      <c r="AA40" s="22"/>
      <c r="AB40" s="22"/>
    </row>
    <row r="41" spans="1:28" ht="12.75">
      <c r="A41" s="170"/>
      <c r="B41" s="146"/>
      <c r="C41" s="146"/>
      <c r="D41" s="146"/>
      <c r="E41" s="146"/>
      <c r="F41" s="148"/>
      <c r="G41" s="242"/>
      <c r="H41" s="170"/>
      <c r="I41" s="170"/>
      <c r="J41" s="146"/>
      <c r="K41" s="115"/>
      <c r="L41" s="72"/>
      <c r="M41" s="115"/>
      <c r="N41" s="72"/>
      <c r="O41" s="115"/>
      <c r="R41" s="97"/>
      <c r="V41" s="57"/>
      <c r="AA41" s="22"/>
      <c r="AB41" s="22"/>
    </row>
    <row r="42" spans="1:28" ht="12.75">
      <c r="A42" s="170"/>
      <c r="B42" s="146"/>
      <c r="C42" s="146"/>
      <c r="D42" s="146"/>
      <c r="E42" s="146"/>
      <c r="F42" s="242"/>
      <c r="G42" s="242"/>
      <c r="H42" s="170"/>
      <c r="I42" s="170"/>
      <c r="J42" s="146"/>
      <c r="K42" s="115"/>
      <c r="L42" s="72"/>
      <c r="M42" s="115"/>
      <c r="N42" s="72"/>
      <c r="O42" s="115"/>
      <c r="R42" s="97"/>
      <c r="S42" s="22"/>
      <c r="V42" s="57"/>
      <c r="AA42" s="22"/>
      <c r="AB42" s="22"/>
    </row>
    <row r="43" spans="2:7" ht="12.75">
      <c r="B43" s="160"/>
      <c r="C43" s="160"/>
      <c r="D43" s="160"/>
      <c r="E43" s="160"/>
      <c r="F43" s="160"/>
      <c r="G43" s="160"/>
    </row>
    <row r="44" spans="2:7" ht="12.75">
      <c r="B44" s="115"/>
      <c r="C44" s="159"/>
      <c r="D44" s="159"/>
      <c r="E44" s="159"/>
      <c r="F44" s="159"/>
      <c r="G44" s="115"/>
    </row>
    <row r="45" spans="2:9" ht="12.75">
      <c r="B45" s="230" t="s">
        <v>784</v>
      </c>
      <c r="C45" s="230"/>
      <c r="D45" s="230"/>
      <c r="E45" s="230"/>
      <c r="F45" s="230"/>
      <c r="G45" s="230"/>
      <c r="H45" s="230"/>
      <c r="I45" s="230"/>
    </row>
    <row r="46" spans="2:27" ht="12.75">
      <c r="B46" s="59" t="s">
        <v>785</v>
      </c>
      <c r="C46" s="231" t="s">
        <v>786</v>
      </c>
      <c r="D46" s="231" t="s">
        <v>787</v>
      </c>
      <c r="E46" s="231" t="s">
        <v>788</v>
      </c>
      <c r="F46" s="231" t="s">
        <v>789</v>
      </c>
      <c r="G46" s="231" t="s">
        <v>790</v>
      </c>
      <c r="H46" s="231" t="s">
        <v>791</v>
      </c>
      <c r="I46" s="119" t="s">
        <v>309</v>
      </c>
      <c r="O46" s="110" t="s">
        <v>792</v>
      </c>
      <c r="P46" s="110"/>
      <c r="Q46" s="110"/>
      <c r="R46" s="110"/>
      <c r="S46" s="110"/>
      <c r="T46" s="110"/>
      <c r="U46" s="110"/>
      <c r="V46" s="110"/>
      <c r="W46" s="110"/>
      <c r="X46" s="110"/>
      <c r="Y46" s="110"/>
      <c r="Z46" s="110"/>
      <c r="AA46" s="110"/>
    </row>
    <row r="47" spans="2:27" ht="12.75" customHeight="1">
      <c r="B47" s="114" t="s">
        <v>793</v>
      </c>
      <c r="C47" s="115" t="s">
        <v>794</v>
      </c>
      <c r="D47" s="72"/>
      <c r="E47" s="115" t="s">
        <v>795</v>
      </c>
      <c r="F47" s="72" t="s">
        <v>796</v>
      </c>
      <c r="G47" s="72" t="s">
        <v>797</v>
      </c>
      <c r="H47" s="72" t="s">
        <v>798</v>
      </c>
      <c r="I47" s="113"/>
      <c r="O47" s="232" t="s">
        <v>799</v>
      </c>
      <c r="P47" s="232"/>
      <c r="Q47" s="232"/>
      <c r="R47" s="232"/>
      <c r="S47" s="232"/>
      <c r="T47" s="232"/>
      <c r="U47" s="233"/>
      <c r="V47" s="232" t="s">
        <v>800</v>
      </c>
      <c r="W47" s="232"/>
      <c r="X47" s="232"/>
      <c r="Y47" s="232"/>
      <c r="Z47" s="232"/>
      <c r="AA47" s="232"/>
    </row>
    <row r="48" spans="2:37" ht="12.75">
      <c r="B48" s="114" t="s">
        <v>801</v>
      </c>
      <c r="C48" s="115" t="s">
        <v>802</v>
      </c>
      <c r="E48" s="115" t="s">
        <v>795</v>
      </c>
      <c r="F48" s="72" t="s">
        <v>803</v>
      </c>
      <c r="G48" s="72" t="s">
        <v>804</v>
      </c>
      <c r="H48" s="72" t="s">
        <v>805</v>
      </c>
      <c r="I48" s="113"/>
      <c r="O48" s="232"/>
      <c r="P48" s="232"/>
      <c r="Q48" s="232"/>
      <c r="R48" s="232"/>
      <c r="S48" s="232"/>
      <c r="T48" s="232"/>
      <c r="U48" s="233"/>
      <c r="V48" s="232"/>
      <c r="W48" s="232"/>
      <c r="X48" s="232"/>
      <c r="Y48" s="232"/>
      <c r="Z48" s="232"/>
      <c r="AA48" s="232"/>
      <c r="AD48">
        <v>10</v>
      </c>
      <c r="AE48" s="22">
        <f>O61</f>
        <v>2.6</v>
      </c>
      <c r="AH48" s="22">
        <f>AE48</f>
        <v>2.6</v>
      </c>
      <c r="AJ48">
        <v>10</v>
      </c>
      <c r="AK48" s="22">
        <f>AH48</f>
        <v>2.6</v>
      </c>
    </row>
    <row r="49" spans="2:37" ht="12.75">
      <c r="B49" s="114" t="s">
        <v>806</v>
      </c>
      <c r="C49" s="115" t="s">
        <v>802</v>
      </c>
      <c r="E49" s="115" t="s">
        <v>795</v>
      </c>
      <c r="F49" s="72" t="s">
        <v>807</v>
      </c>
      <c r="G49" s="72" t="s">
        <v>808</v>
      </c>
      <c r="H49" s="72" t="s">
        <v>809</v>
      </c>
      <c r="I49" s="113"/>
      <c r="O49" s="98" t="s">
        <v>810</v>
      </c>
      <c r="P49" s="98"/>
      <c r="Q49" s="98"/>
      <c r="R49" s="98"/>
      <c r="S49" s="98"/>
      <c r="T49" s="98"/>
      <c r="U49" s="233"/>
      <c r="V49" s="98" t="s">
        <v>811</v>
      </c>
      <c r="W49" s="98"/>
      <c r="X49" s="98"/>
      <c r="Y49" s="98"/>
      <c r="Z49" s="98"/>
      <c r="AA49" s="98"/>
      <c r="AD49">
        <v>11</v>
      </c>
      <c r="AH49" s="22">
        <f>AH48+$AG$58</f>
        <v>2.8</v>
      </c>
      <c r="AJ49">
        <v>11</v>
      </c>
      <c r="AK49" s="22">
        <f>AK48+$AG$58</f>
        <v>2.8</v>
      </c>
    </row>
    <row r="50" spans="2:37" ht="12.75">
      <c r="B50" s="234" t="s">
        <v>812</v>
      </c>
      <c r="C50" s="122" t="s">
        <v>802</v>
      </c>
      <c r="D50" s="235"/>
      <c r="E50" s="122" t="s">
        <v>813</v>
      </c>
      <c r="F50" s="72" t="s">
        <v>796</v>
      </c>
      <c r="G50" s="122" t="s">
        <v>814</v>
      </c>
      <c r="H50" s="122">
        <v>17.4</v>
      </c>
      <c r="I50" s="113"/>
      <c r="O50" s="236">
        <v>10</v>
      </c>
      <c r="P50" s="236">
        <v>20</v>
      </c>
      <c r="Q50" s="236">
        <v>30</v>
      </c>
      <c r="R50" s="236">
        <v>40</v>
      </c>
      <c r="S50" s="236">
        <v>50</v>
      </c>
      <c r="T50" s="236">
        <v>60</v>
      </c>
      <c r="U50" s="233"/>
      <c r="V50" s="236">
        <v>10</v>
      </c>
      <c r="W50" s="236">
        <v>20</v>
      </c>
      <c r="X50" s="236">
        <v>30</v>
      </c>
      <c r="Y50" s="236">
        <v>40</v>
      </c>
      <c r="Z50" s="236">
        <v>50</v>
      </c>
      <c r="AA50" s="236">
        <v>60</v>
      </c>
      <c r="AD50">
        <v>12</v>
      </c>
      <c r="AH50" s="22">
        <f>AH49+$AG$58</f>
        <v>3</v>
      </c>
      <c r="AJ50">
        <v>12</v>
      </c>
      <c r="AK50" s="22">
        <f>AK49+$AG$58</f>
        <v>3</v>
      </c>
    </row>
    <row r="51" spans="2:37" ht="12.75">
      <c r="B51" s="114" t="s">
        <v>815</v>
      </c>
      <c r="C51" s="115" t="s">
        <v>802</v>
      </c>
      <c r="E51" s="115" t="s">
        <v>795</v>
      </c>
      <c r="F51" s="72" t="s">
        <v>816</v>
      </c>
      <c r="G51" s="72" t="s">
        <v>804</v>
      </c>
      <c r="H51" s="161" t="s">
        <v>817</v>
      </c>
      <c r="I51" s="113"/>
      <c r="O51" s="233"/>
      <c r="P51" s="233"/>
      <c r="Q51" s="233"/>
      <c r="R51" s="233"/>
      <c r="S51" s="233"/>
      <c r="T51" s="233"/>
      <c r="U51" s="233"/>
      <c r="V51" s="233"/>
      <c r="W51" s="233"/>
      <c r="X51" s="233"/>
      <c r="Y51" s="233"/>
      <c r="Z51" s="233"/>
      <c r="AA51" s="233"/>
      <c r="AD51">
        <v>13</v>
      </c>
      <c r="AH51" s="22">
        <f>AH50+$AG$58</f>
        <v>3.2</v>
      </c>
      <c r="AJ51">
        <v>13</v>
      </c>
      <c r="AK51" s="22">
        <f>AK50+$AG$58</f>
        <v>3.2</v>
      </c>
    </row>
    <row r="52" spans="2:37" ht="12.75">
      <c r="B52" s="114" t="s">
        <v>818</v>
      </c>
      <c r="C52" s="115" t="s">
        <v>802</v>
      </c>
      <c r="E52" s="115" t="s">
        <v>813</v>
      </c>
      <c r="F52" s="72" t="s">
        <v>819</v>
      </c>
      <c r="G52" s="72" t="s">
        <v>814</v>
      </c>
      <c r="H52" s="161" t="s">
        <v>820</v>
      </c>
      <c r="I52" s="113"/>
      <c r="O52" s="233">
        <v>2.6</v>
      </c>
      <c r="P52" s="233">
        <v>4.6</v>
      </c>
      <c r="Q52" s="233">
        <v>6.5</v>
      </c>
      <c r="R52" s="233">
        <v>7.8</v>
      </c>
      <c r="S52" s="233">
        <v>9.8</v>
      </c>
      <c r="T52" s="233">
        <v>11.7</v>
      </c>
      <c r="U52" s="233"/>
      <c r="V52" s="233">
        <v>2.6</v>
      </c>
      <c r="W52" s="233">
        <v>4.6</v>
      </c>
      <c r="X52" s="233">
        <v>6.5</v>
      </c>
      <c r="Y52" s="233">
        <v>7.8</v>
      </c>
      <c r="Z52" s="233">
        <v>9.8</v>
      </c>
      <c r="AA52" s="233">
        <v>11.7</v>
      </c>
      <c r="AD52">
        <v>14</v>
      </c>
      <c r="AH52" s="22">
        <f>AH51+$AG$58</f>
        <v>3.4000000000000004</v>
      </c>
      <c r="AJ52">
        <v>14</v>
      </c>
      <c r="AK52" s="22">
        <f>AK51+$AG$58</f>
        <v>3.4000000000000004</v>
      </c>
    </row>
    <row r="53" spans="2:37" ht="12.75">
      <c r="B53" s="114" t="s">
        <v>821</v>
      </c>
      <c r="C53" s="115" t="s">
        <v>802</v>
      </c>
      <c r="D53" s="72"/>
      <c r="E53" s="115" t="s">
        <v>795</v>
      </c>
      <c r="F53" s="72" t="s">
        <v>822</v>
      </c>
      <c r="G53" s="115" t="s">
        <v>808</v>
      </c>
      <c r="H53" s="115" t="s">
        <v>823</v>
      </c>
      <c r="I53" s="113"/>
      <c r="AD53">
        <v>15</v>
      </c>
      <c r="AH53" s="22">
        <f>AH52+$AG$58</f>
        <v>3.6000000000000005</v>
      </c>
      <c r="AJ53">
        <v>15</v>
      </c>
      <c r="AK53" s="22">
        <f>AK52+$AG$58</f>
        <v>3.6000000000000005</v>
      </c>
    </row>
    <row r="54" spans="2:37" ht="12.75">
      <c r="B54" s="114" t="s">
        <v>824</v>
      </c>
      <c r="C54" s="115" t="s">
        <v>802</v>
      </c>
      <c r="D54" s="115"/>
      <c r="E54" s="115" t="s">
        <v>795</v>
      </c>
      <c r="F54" s="72" t="s">
        <v>825</v>
      </c>
      <c r="G54" s="115" t="s">
        <v>826</v>
      </c>
      <c r="H54" s="160" t="s">
        <v>827</v>
      </c>
      <c r="I54" s="113"/>
      <c r="AD54">
        <v>16</v>
      </c>
      <c r="AH54" s="22">
        <f>AH53+$AG$58</f>
        <v>3.8000000000000007</v>
      </c>
      <c r="AJ54">
        <v>16</v>
      </c>
      <c r="AK54" s="22">
        <f>AK53+$AG$58</f>
        <v>3.8000000000000007</v>
      </c>
    </row>
    <row r="55" spans="2:37" ht="12.75">
      <c r="B55" s="234" t="s">
        <v>828</v>
      </c>
      <c r="C55" s="122" t="s">
        <v>794</v>
      </c>
      <c r="D55" s="122"/>
      <c r="E55" s="122" t="s">
        <v>829</v>
      </c>
      <c r="F55" s="235" t="s">
        <v>830</v>
      </c>
      <c r="G55" s="122" t="s">
        <v>831</v>
      </c>
      <c r="H55" s="122" t="s">
        <v>832</v>
      </c>
      <c r="I55" s="113"/>
      <c r="O55" s="110" t="s">
        <v>792</v>
      </c>
      <c r="P55" s="110"/>
      <c r="Q55" s="110"/>
      <c r="R55" s="110"/>
      <c r="S55" s="110"/>
      <c r="T55" s="110"/>
      <c r="U55" s="110"/>
      <c r="V55" s="110"/>
      <c r="W55" s="110"/>
      <c r="X55" s="110"/>
      <c r="Y55" s="110"/>
      <c r="Z55" s="110"/>
      <c r="AA55" s="110"/>
      <c r="AD55">
        <v>17</v>
      </c>
      <c r="AH55" s="22">
        <f>AH54+$AG$58</f>
        <v>4.000000000000001</v>
      </c>
      <c r="AJ55">
        <v>17</v>
      </c>
      <c r="AK55" s="22">
        <f>AK54+$AG$58</f>
        <v>4.000000000000001</v>
      </c>
    </row>
    <row r="56" spans="2:37" ht="12.75" customHeight="1">
      <c r="B56" s="234"/>
      <c r="C56" s="122"/>
      <c r="D56" s="122"/>
      <c r="E56" s="122"/>
      <c r="F56" s="235"/>
      <c r="G56" s="122"/>
      <c r="H56" s="122"/>
      <c r="I56" s="113"/>
      <c r="O56" s="232" t="s">
        <v>799</v>
      </c>
      <c r="P56" s="232"/>
      <c r="Q56" s="232"/>
      <c r="R56" s="232"/>
      <c r="S56" s="232"/>
      <c r="T56" s="232"/>
      <c r="U56" s="233"/>
      <c r="V56" s="232" t="s">
        <v>800</v>
      </c>
      <c r="W56" s="232"/>
      <c r="X56" s="232"/>
      <c r="Y56" s="232"/>
      <c r="Z56" s="232"/>
      <c r="AA56" s="232"/>
      <c r="AD56">
        <v>18</v>
      </c>
      <c r="AH56" s="22">
        <f>AH55+$AG$58</f>
        <v>4.200000000000001</v>
      </c>
      <c r="AJ56">
        <v>18</v>
      </c>
      <c r="AK56" s="22">
        <f>AK55+$AG$58</f>
        <v>4.200000000000001</v>
      </c>
    </row>
    <row r="57" spans="2:37" ht="12.75">
      <c r="B57" s="114" t="s">
        <v>833</v>
      </c>
      <c r="C57" s="115" t="s">
        <v>794</v>
      </c>
      <c r="D57" s="72"/>
      <c r="E57" s="115" t="s">
        <v>813</v>
      </c>
      <c r="F57" s="72" t="s">
        <v>834</v>
      </c>
      <c r="G57" s="115" t="s">
        <v>835</v>
      </c>
      <c r="H57" s="115" t="s">
        <v>836</v>
      </c>
      <c r="I57" s="113"/>
      <c r="O57" s="232"/>
      <c r="P57" s="232"/>
      <c r="Q57" s="232"/>
      <c r="R57" s="232"/>
      <c r="S57" s="232"/>
      <c r="T57" s="232"/>
      <c r="U57" s="233"/>
      <c r="V57" s="232"/>
      <c r="W57" s="232"/>
      <c r="X57" s="232"/>
      <c r="Y57" s="232"/>
      <c r="Z57" s="232"/>
      <c r="AA57" s="232"/>
      <c r="AD57">
        <v>19</v>
      </c>
      <c r="AH57" s="22">
        <f>AH56+$AG$58</f>
        <v>4.400000000000001</v>
      </c>
      <c r="AJ57">
        <v>19</v>
      </c>
      <c r="AK57" s="22">
        <f>AK56+$AG$58</f>
        <v>4.400000000000001</v>
      </c>
    </row>
    <row r="58" spans="2:37" ht="12.75">
      <c r="B58" s="114" t="s">
        <v>837</v>
      </c>
      <c r="C58" s="115" t="s">
        <v>802</v>
      </c>
      <c r="E58" s="115" t="s">
        <v>795</v>
      </c>
      <c r="F58" s="72" t="s">
        <v>838</v>
      </c>
      <c r="G58" s="115" t="s">
        <v>839</v>
      </c>
      <c r="H58" s="115" t="s">
        <v>838</v>
      </c>
      <c r="I58" s="113"/>
      <c r="O58" s="98" t="s">
        <v>810</v>
      </c>
      <c r="P58" s="98"/>
      <c r="Q58" s="98"/>
      <c r="R58" s="98"/>
      <c r="S58" s="98"/>
      <c r="T58" s="98"/>
      <c r="U58" s="233"/>
      <c r="V58" s="98" t="s">
        <v>811</v>
      </c>
      <c r="W58" s="98"/>
      <c r="X58" s="98"/>
      <c r="Y58" s="98"/>
      <c r="Z58" s="98"/>
      <c r="AA58" s="98"/>
      <c r="AD58">
        <v>20</v>
      </c>
      <c r="AE58" s="22">
        <f>P61</f>
        <v>4.6</v>
      </c>
      <c r="AF58" s="22">
        <f>AE58-AE48</f>
        <v>1.9999999999999996</v>
      </c>
      <c r="AG58" s="22">
        <f>AF58/10</f>
        <v>0.19999999999999996</v>
      </c>
      <c r="AH58" s="22">
        <f>AE58</f>
        <v>4.6</v>
      </c>
      <c r="AJ58">
        <v>20</v>
      </c>
      <c r="AK58" s="22">
        <f>AH58</f>
        <v>4.6</v>
      </c>
    </row>
    <row r="59" spans="2:37" ht="12.75">
      <c r="B59" s="114" t="s">
        <v>840</v>
      </c>
      <c r="C59" s="115" t="s">
        <v>802</v>
      </c>
      <c r="E59" s="115" t="s">
        <v>795</v>
      </c>
      <c r="F59" s="72" t="s">
        <v>838</v>
      </c>
      <c r="G59" s="115" t="s">
        <v>839</v>
      </c>
      <c r="H59" s="115" t="s">
        <v>838</v>
      </c>
      <c r="I59" s="113"/>
      <c r="O59" s="236">
        <v>10</v>
      </c>
      <c r="P59" s="236">
        <v>20</v>
      </c>
      <c r="Q59" s="236">
        <v>30</v>
      </c>
      <c r="R59" s="236">
        <v>40</v>
      </c>
      <c r="S59" s="236">
        <v>50</v>
      </c>
      <c r="T59" s="236">
        <v>60</v>
      </c>
      <c r="U59" s="233"/>
      <c r="V59" s="236">
        <v>10</v>
      </c>
      <c r="W59" s="236">
        <v>20</v>
      </c>
      <c r="X59" s="236">
        <v>30</v>
      </c>
      <c r="Y59" s="236">
        <v>40</v>
      </c>
      <c r="Z59" s="236">
        <v>50</v>
      </c>
      <c r="AA59" s="236">
        <v>60</v>
      </c>
      <c r="AD59">
        <v>21</v>
      </c>
      <c r="AH59" s="22">
        <f>AH58+$AG$68</f>
        <v>4.79</v>
      </c>
      <c r="AJ59">
        <v>21</v>
      </c>
      <c r="AK59" s="22">
        <f>AK58+$AG$68</f>
        <v>4.79</v>
      </c>
    </row>
    <row r="60" spans="2:37" ht="12.75">
      <c r="B60" s="114" t="s">
        <v>841</v>
      </c>
      <c r="C60" s="115" t="s">
        <v>802</v>
      </c>
      <c r="D60" s="72"/>
      <c r="E60" s="115" t="s">
        <v>813</v>
      </c>
      <c r="F60" s="72" t="s">
        <v>834</v>
      </c>
      <c r="G60" s="115" t="s">
        <v>842</v>
      </c>
      <c r="H60" s="115" t="s">
        <v>843</v>
      </c>
      <c r="I60" s="113"/>
      <c r="O60" s="233"/>
      <c r="P60" s="233"/>
      <c r="Q60" s="233"/>
      <c r="R60" s="233"/>
      <c r="S60" s="233"/>
      <c r="T60" s="233"/>
      <c r="U60" s="233"/>
      <c r="V60" s="233"/>
      <c r="W60" s="233"/>
      <c r="X60" s="233"/>
      <c r="Y60" s="233"/>
      <c r="Z60" s="233"/>
      <c r="AA60" s="233"/>
      <c r="AD60">
        <v>22</v>
      </c>
      <c r="AH60" s="22">
        <f>AH59+$AG$68</f>
        <v>4.98</v>
      </c>
      <c r="AJ60">
        <v>22</v>
      </c>
      <c r="AK60" s="22">
        <f>AK59+$AG$68</f>
        <v>4.98</v>
      </c>
    </row>
    <row r="61" spans="2:37" ht="12.75" customHeight="1">
      <c r="B61" s="114" t="s">
        <v>844</v>
      </c>
      <c r="C61" s="115" t="s">
        <v>802</v>
      </c>
      <c r="D61" s="72"/>
      <c r="E61" s="115" t="s">
        <v>795</v>
      </c>
      <c r="F61" s="72" t="s">
        <v>834</v>
      </c>
      <c r="G61" s="115" t="s">
        <v>845</v>
      </c>
      <c r="H61" s="115" t="s">
        <v>846</v>
      </c>
      <c r="I61" s="113"/>
      <c r="O61" s="233">
        <f>O52</f>
        <v>2.6</v>
      </c>
      <c r="P61" s="233">
        <f>P52</f>
        <v>4.6</v>
      </c>
      <c r="Q61" s="233">
        <f>Q52</f>
        <v>6.5</v>
      </c>
      <c r="R61" s="233">
        <f>R52</f>
        <v>7.8</v>
      </c>
      <c r="S61" s="233">
        <f>S52</f>
        <v>9.8</v>
      </c>
      <c r="T61" s="233">
        <f>T52</f>
        <v>11.7</v>
      </c>
      <c r="U61" s="233"/>
      <c r="V61" s="233">
        <f>V52</f>
        <v>2.6</v>
      </c>
      <c r="W61" s="233">
        <f>W52</f>
        <v>4.6</v>
      </c>
      <c r="X61" s="233">
        <f>X52</f>
        <v>6.5</v>
      </c>
      <c r="Y61" s="233">
        <f>Y52</f>
        <v>7.8</v>
      </c>
      <c r="Z61" s="233">
        <f>Z52</f>
        <v>9.8</v>
      </c>
      <c r="AA61" s="233">
        <f>AA52</f>
        <v>11.7</v>
      </c>
      <c r="AD61">
        <v>23</v>
      </c>
      <c r="AH61" s="22">
        <f>AH60+$AG$68</f>
        <v>5.170000000000001</v>
      </c>
      <c r="AJ61">
        <v>23</v>
      </c>
      <c r="AK61" s="22">
        <f>AK60+$AG$68</f>
        <v>5.170000000000001</v>
      </c>
    </row>
    <row r="62" spans="2:37" ht="12.75">
      <c r="B62" s="114" t="s">
        <v>847</v>
      </c>
      <c r="C62" s="115" t="s">
        <v>802</v>
      </c>
      <c r="D62" s="72"/>
      <c r="E62" s="115" t="s">
        <v>795</v>
      </c>
      <c r="F62" s="72" t="s">
        <v>838</v>
      </c>
      <c r="G62" s="115" t="s">
        <v>839</v>
      </c>
      <c r="H62" s="115" t="s">
        <v>848</v>
      </c>
      <c r="I62" s="113"/>
      <c r="AD62">
        <v>24</v>
      </c>
      <c r="AH62" s="22">
        <f>AH61+$AG$68</f>
        <v>5.360000000000001</v>
      </c>
      <c r="AJ62">
        <v>24</v>
      </c>
      <c r="AK62" s="22">
        <f>AK61+$AG$68</f>
        <v>5.360000000000001</v>
      </c>
    </row>
    <row r="63" spans="2:37" ht="12.75">
      <c r="B63" s="237"/>
      <c r="H63" s="115"/>
      <c r="I63" s="113"/>
      <c r="AD63">
        <v>25</v>
      </c>
      <c r="AH63" s="22">
        <f>AH62+$AG$68</f>
        <v>5.550000000000002</v>
      </c>
      <c r="AJ63">
        <v>25</v>
      </c>
      <c r="AK63" s="22">
        <f>AK62+$AG$68</f>
        <v>5.550000000000002</v>
      </c>
    </row>
    <row r="64" spans="2:37" ht="12.75">
      <c r="B64" s="237"/>
      <c r="H64" s="115"/>
      <c r="I64" s="113"/>
      <c r="AD64">
        <v>26</v>
      </c>
      <c r="AH64" s="22">
        <f>AH63+$AG$68</f>
        <v>5.740000000000002</v>
      </c>
      <c r="AJ64">
        <v>26</v>
      </c>
      <c r="AK64" s="22">
        <f>AK63+$AG$68</f>
        <v>5.740000000000002</v>
      </c>
    </row>
    <row r="65" spans="2:37" ht="12.75">
      <c r="B65" s="237"/>
      <c r="H65" s="57"/>
      <c r="I65" s="113"/>
      <c r="O65" t="s">
        <v>849</v>
      </c>
      <c r="R65" t="s">
        <v>850</v>
      </c>
      <c r="V65" t="s">
        <v>851</v>
      </c>
      <c r="AD65">
        <v>27</v>
      </c>
      <c r="AH65" s="22">
        <f>AH64+$AG$68</f>
        <v>5.930000000000002</v>
      </c>
      <c r="AJ65">
        <v>27</v>
      </c>
      <c r="AK65" s="22">
        <f>AK64+$AG$68</f>
        <v>5.930000000000002</v>
      </c>
    </row>
    <row r="66" spans="2:37" ht="12.75">
      <c r="B66" s="237"/>
      <c r="H66" s="57"/>
      <c r="I66" s="113"/>
      <c r="O66">
        <v>16</v>
      </c>
      <c r="P66" s="22">
        <f>AK54</f>
        <v>3.8000000000000007</v>
      </c>
      <c r="R66">
        <v>16</v>
      </c>
      <c r="S66" s="22">
        <f>P66*1.2*0.9</f>
        <v>4.104000000000001</v>
      </c>
      <c r="V66">
        <v>16</v>
      </c>
      <c r="W66" s="22">
        <f>P66*0.95*1.2</f>
        <v>4.332000000000001</v>
      </c>
      <c r="AD66">
        <v>28</v>
      </c>
      <c r="AH66" s="22">
        <f>AH65+$AG$68</f>
        <v>6.120000000000003</v>
      </c>
      <c r="AJ66">
        <v>28</v>
      </c>
      <c r="AK66" s="22">
        <f>AK65+$AG$68</f>
        <v>6.120000000000003</v>
      </c>
    </row>
    <row r="67" spans="2:37" ht="12.75">
      <c r="B67" s="238"/>
      <c r="C67" s="18"/>
      <c r="D67" s="18"/>
      <c r="E67" s="18"/>
      <c r="F67" s="18"/>
      <c r="G67" s="18"/>
      <c r="H67" s="18"/>
      <c r="I67" s="78"/>
      <c r="O67">
        <v>24</v>
      </c>
      <c r="P67" s="22">
        <f>AK62</f>
        <v>5.360000000000001</v>
      </c>
      <c r="R67">
        <v>24</v>
      </c>
      <c r="S67" s="22">
        <f>P67*1.2*0.9</f>
        <v>5.788800000000001</v>
      </c>
      <c r="V67">
        <v>24</v>
      </c>
      <c r="W67" s="22">
        <f>P67*0.95*1.2</f>
        <v>6.110400000000001</v>
      </c>
      <c r="AD67">
        <v>29</v>
      </c>
      <c r="AH67" s="22">
        <f>AH66+$AG$68</f>
        <v>6.310000000000003</v>
      </c>
      <c r="AJ67">
        <v>29</v>
      </c>
      <c r="AK67" s="22">
        <f>AK66+$AG$68</f>
        <v>6.310000000000003</v>
      </c>
    </row>
    <row r="68" spans="15:37" ht="12.75">
      <c r="O68">
        <v>31</v>
      </c>
      <c r="P68" s="22">
        <f>AK69</f>
        <v>6.6300000000000034</v>
      </c>
      <c r="R68">
        <v>31</v>
      </c>
      <c r="S68" s="22">
        <f>P68*1.2*0.9</f>
        <v>7.160400000000004</v>
      </c>
      <c r="V68">
        <v>31</v>
      </c>
      <c r="W68" s="22">
        <f>P68*0.95*1.2</f>
        <v>7.558200000000004</v>
      </c>
      <c r="AD68">
        <v>30</v>
      </c>
      <c r="AE68" s="22">
        <f>Q61</f>
        <v>6.5</v>
      </c>
      <c r="AF68" s="22">
        <f>AE68-AE58</f>
        <v>1.9000000000000004</v>
      </c>
      <c r="AG68" s="22">
        <f>AF68/10</f>
        <v>0.19000000000000003</v>
      </c>
      <c r="AH68" s="22">
        <f>AH67+$AG$68</f>
        <v>6.5000000000000036</v>
      </c>
      <c r="AJ68">
        <v>30</v>
      </c>
      <c r="AK68" s="22">
        <f>AK67+$AG$68</f>
        <v>6.5000000000000036</v>
      </c>
    </row>
    <row r="69" spans="15:37" ht="12.75">
      <c r="O69">
        <v>32</v>
      </c>
      <c r="P69" s="22">
        <f>AK70</f>
        <v>6.760000000000003</v>
      </c>
      <c r="R69">
        <v>32</v>
      </c>
      <c r="S69" s="22">
        <f>P69*1.2*0.9</f>
        <v>7.300800000000003</v>
      </c>
      <c r="V69">
        <v>32</v>
      </c>
      <c r="W69" s="22">
        <f>P69*0.95*1.2</f>
        <v>7.706400000000004</v>
      </c>
      <c r="AD69">
        <v>31</v>
      </c>
      <c r="AH69" s="22">
        <f>AH68+$AG$78</f>
        <v>6.6300000000000034</v>
      </c>
      <c r="AJ69">
        <v>31</v>
      </c>
      <c r="AK69" s="22">
        <f>AK68+$AG$78</f>
        <v>6.6300000000000034</v>
      </c>
    </row>
    <row r="70" spans="2:37" ht="12.75">
      <c r="B70" s="110" t="s">
        <v>852</v>
      </c>
      <c r="C70" s="110"/>
      <c r="D70" s="110"/>
      <c r="E70" s="110"/>
      <c r="F70" s="110"/>
      <c r="G70" s="110"/>
      <c r="H70" s="110"/>
      <c r="I70" s="110"/>
      <c r="J70" s="110"/>
      <c r="K70" s="110"/>
      <c r="O70">
        <v>36</v>
      </c>
      <c r="P70" s="22">
        <f>AK74</f>
        <v>7.280000000000003</v>
      </c>
      <c r="R70">
        <v>36</v>
      </c>
      <c r="S70" s="22">
        <f>P70*1.2*0.9</f>
        <v>7.862400000000003</v>
      </c>
      <c r="V70">
        <v>36</v>
      </c>
      <c r="W70" s="22">
        <f>P70*0.95*1.2</f>
        <v>8.299200000000003</v>
      </c>
      <c r="AD70">
        <v>32</v>
      </c>
      <c r="AH70" s="22">
        <f>AH69+$AG$78</f>
        <v>6.760000000000003</v>
      </c>
      <c r="AJ70">
        <v>32</v>
      </c>
      <c r="AK70" s="22">
        <f>AK69+$AG$78</f>
        <v>6.760000000000003</v>
      </c>
    </row>
    <row r="71" spans="2:37" ht="12.75">
      <c r="B71" s="110"/>
      <c r="C71" s="110" t="s">
        <v>853</v>
      </c>
      <c r="D71" s="110"/>
      <c r="E71" s="110"/>
      <c r="F71" s="110"/>
      <c r="G71" s="110"/>
      <c r="H71" s="110"/>
      <c r="I71" s="110"/>
      <c r="J71" s="110"/>
      <c r="K71" s="110"/>
      <c r="O71">
        <v>41</v>
      </c>
      <c r="P71" s="22">
        <f>AK79</f>
        <v>8.000000000000002</v>
      </c>
      <c r="R71">
        <v>41</v>
      </c>
      <c r="S71" s="22">
        <f>P71*1.2*0.9</f>
        <v>8.640000000000002</v>
      </c>
      <c r="V71">
        <v>41</v>
      </c>
      <c r="W71" s="22">
        <f>P71*0.95*1.2</f>
        <v>9.120000000000003</v>
      </c>
      <c r="AD71">
        <v>33</v>
      </c>
      <c r="AH71" s="22">
        <f>AH70+$AG$78</f>
        <v>6.890000000000003</v>
      </c>
      <c r="AJ71">
        <v>33</v>
      </c>
      <c r="AK71" s="22">
        <f>AK70+$AG$78</f>
        <v>6.890000000000003</v>
      </c>
    </row>
    <row r="72" spans="2:37" ht="12.75">
      <c r="B72" s="232" t="s">
        <v>854</v>
      </c>
      <c r="C72" s="232" t="s">
        <v>855</v>
      </c>
      <c r="D72" s="232" t="s">
        <v>856</v>
      </c>
      <c r="E72" s="232" t="s">
        <v>856</v>
      </c>
      <c r="F72" s="232" t="s">
        <v>856</v>
      </c>
      <c r="G72" s="232" t="s">
        <v>856</v>
      </c>
      <c r="H72" s="232" t="s">
        <v>856</v>
      </c>
      <c r="I72" s="232" t="s">
        <v>856</v>
      </c>
      <c r="J72" s="232" t="s">
        <v>856</v>
      </c>
      <c r="K72" s="236" t="s">
        <v>857</v>
      </c>
      <c r="AD72">
        <v>34</v>
      </c>
      <c r="AH72" s="22">
        <f>AH71+$AG$78</f>
        <v>7.020000000000003</v>
      </c>
      <c r="AJ72">
        <v>34</v>
      </c>
      <c r="AK72" s="22">
        <f>AK71+$AG$78</f>
        <v>7.020000000000003</v>
      </c>
    </row>
    <row r="73" spans="2:37" ht="12.75">
      <c r="B73" s="232"/>
      <c r="C73" s="232" t="s">
        <v>858</v>
      </c>
      <c r="D73" s="232" t="s">
        <v>859</v>
      </c>
      <c r="E73" s="232" t="s">
        <v>860</v>
      </c>
      <c r="F73" s="232" t="s">
        <v>861</v>
      </c>
      <c r="G73" s="232" t="s">
        <v>862</v>
      </c>
      <c r="H73" s="236" t="s">
        <v>863</v>
      </c>
      <c r="I73" s="236" t="s">
        <v>864</v>
      </c>
      <c r="J73" s="102" t="s">
        <v>865</v>
      </c>
      <c r="K73" s="102"/>
      <c r="O73" t="s">
        <v>866</v>
      </c>
      <c r="P73" t="s">
        <v>867</v>
      </c>
      <c r="Q73" t="s">
        <v>868</v>
      </c>
      <c r="R73" t="s">
        <v>869</v>
      </c>
      <c r="S73" t="s">
        <v>870</v>
      </c>
      <c r="AD73">
        <v>35</v>
      </c>
      <c r="AH73" s="22">
        <f>AH72+$AG$78</f>
        <v>7.150000000000003</v>
      </c>
      <c r="AJ73">
        <v>35</v>
      </c>
      <c r="AK73" s="22">
        <f>AK72+$AG$78</f>
        <v>7.150000000000003</v>
      </c>
    </row>
    <row r="74" spans="2:37" ht="12.75">
      <c r="B74" s="98" t="s">
        <v>813</v>
      </c>
      <c r="C74" s="98"/>
      <c r="D74" s="98"/>
      <c r="E74" s="98"/>
      <c r="F74" s="98"/>
      <c r="G74" s="98"/>
      <c r="H74" s="98"/>
      <c r="I74" s="98"/>
      <c r="J74" s="98"/>
      <c r="K74" s="98"/>
      <c r="O74" t="s">
        <v>871</v>
      </c>
      <c r="P74" t="s">
        <v>872</v>
      </c>
      <c r="Q74" t="s">
        <v>794</v>
      </c>
      <c r="R74" t="s">
        <v>873</v>
      </c>
      <c r="S74" t="s">
        <v>874</v>
      </c>
      <c r="AD74">
        <v>36</v>
      </c>
      <c r="AH74" s="22">
        <f>AH73+$AG$78</f>
        <v>7.280000000000003</v>
      </c>
      <c r="AJ74">
        <v>36</v>
      </c>
      <c r="AK74" s="22">
        <f>AK73+$AG$78</f>
        <v>7.280000000000003</v>
      </c>
    </row>
    <row r="75" spans="2:37" ht="12.75">
      <c r="B75" s="100">
        <v>10</v>
      </c>
      <c r="C75" s="100">
        <v>3.5</v>
      </c>
      <c r="D75" s="239">
        <v>1.2</v>
      </c>
      <c r="E75" s="100">
        <v>1.3</v>
      </c>
      <c r="F75" s="240">
        <v>0.9</v>
      </c>
      <c r="G75" s="240">
        <v>1.6</v>
      </c>
      <c r="H75" s="241">
        <v>1</v>
      </c>
      <c r="I75" s="239">
        <v>1</v>
      </c>
      <c r="J75" s="239">
        <v>1</v>
      </c>
      <c r="K75" s="102">
        <f>C75*D75*E75*F75*G75*H75*I75*J75</f>
        <v>7.862400000000001</v>
      </c>
      <c r="L75" s="22">
        <f>K75*0.7</f>
        <v>5.503680000000001</v>
      </c>
      <c r="O75" t="s">
        <v>875</v>
      </c>
      <c r="P75" t="s">
        <v>876</v>
      </c>
      <c r="Q75" t="s">
        <v>794</v>
      </c>
      <c r="R75" t="s">
        <v>877</v>
      </c>
      <c r="S75" t="s">
        <v>878</v>
      </c>
      <c r="AD75">
        <v>37</v>
      </c>
      <c r="AH75" s="22">
        <f>AH74+$AG$78</f>
        <v>7.410000000000003</v>
      </c>
      <c r="AJ75">
        <v>37</v>
      </c>
      <c r="AK75" s="22">
        <f>AK74+$AG$78</f>
        <v>7.410000000000003</v>
      </c>
    </row>
    <row r="76" spans="2:37" ht="12.75">
      <c r="B76" s="100">
        <v>20</v>
      </c>
      <c r="C76" s="100">
        <v>7</v>
      </c>
      <c r="D76" s="239">
        <f>D75</f>
        <v>1.2</v>
      </c>
      <c r="E76" s="239">
        <f>E75</f>
        <v>1.3</v>
      </c>
      <c r="F76" s="239">
        <f>F75</f>
        <v>0.9</v>
      </c>
      <c r="G76" s="239">
        <f>G75</f>
        <v>1.6</v>
      </c>
      <c r="H76" s="239">
        <f>H75</f>
        <v>1</v>
      </c>
      <c r="I76" s="239">
        <f>I75</f>
        <v>1</v>
      </c>
      <c r="J76" s="239">
        <f>J75</f>
        <v>1</v>
      </c>
      <c r="K76" s="233">
        <f>C76*D76*E76*F76*G76*H76*I76*J76</f>
        <v>15.724800000000002</v>
      </c>
      <c r="L76" s="22">
        <f>K76*0.7</f>
        <v>11.007360000000002</v>
      </c>
      <c r="O76" s="71" t="s">
        <v>879</v>
      </c>
      <c r="P76" s="71" t="s">
        <v>872</v>
      </c>
      <c r="Q76" s="71" t="s">
        <v>794</v>
      </c>
      <c r="R76" s="71" t="s">
        <v>873</v>
      </c>
      <c r="S76" s="71" t="s">
        <v>880</v>
      </c>
      <c r="T76" s="71"/>
      <c r="AD76">
        <v>38</v>
      </c>
      <c r="AH76" s="22">
        <f>AH75+$AG$78</f>
        <v>7.540000000000003</v>
      </c>
      <c r="AJ76">
        <v>38</v>
      </c>
      <c r="AK76" s="22">
        <f>AK75+$AG$78</f>
        <v>7.540000000000003</v>
      </c>
    </row>
    <row r="77" spans="2:37" ht="12.75">
      <c r="B77" s="100">
        <v>30</v>
      </c>
      <c r="C77" s="100">
        <v>9.5</v>
      </c>
      <c r="D77" s="239">
        <f>D76</f>
        <v>1.2</v>
      </c>
      <c r="E77" s="239">
        <f>E76</f>
        <v>1.3</v>
      </c>
      <c r="F77" s="239">
        <f>F76</f>
        <v>0.9</v>
      </c>
      <c r="G77" s="239">
        <f>G76</f>
        <v>1.6</v>
      </c>
      <c r="H77" s="239">
        <f>H76</f>
        <v>1</v>
      </c>
      <c r="I77" s="239">
        <f>I76</f>
        <v>1</v>
      </c>
      <c r="J77" s="239">
        <f>J76</f>
        <v>1</v>
      </c>
      <c r="K77" s="233">
        <f>C77*D77*E77*F77*G77*H77*I77*J77</f>
        <v>21.3408</v>
      </c>
      <c r="L77" s="22">
        <f>K77*0.7</f>
        <v>14.938560000000003</v>
      </c>
      <c r="O77" t="s">
        <v>881</v>
      </c>
      <c r="P77" t="s">
        <v>876</v>
      </c>
      <c r="Q77" t="s">
        <v>794</v>
      </c>
      <c r="R77" t="s">
        <v>877</v>
      </c>
      <c r="S77" t="s">
        <v>882</v>
      </c>
      <c r="AD77">
        <v>39</v>
      </c>
      <c r="AH77" s="22">
        <f>AH76+$AG$78</f>
        <v>7.670000000000003</v>
      </c>
      <c r="AJ77">
        <v>39</v>
      </c>
      <c r="AK77" s="22">
        <f>AK76+$AG$78</f>
        <v>7.670000000000003</v>
      </c>
    </row>
    <row r="78" spans="2:37" ht="12.75">
      <c r="B78" s="100">
        <v>40</v>
      </c>
      <c r="C78" s="100">
        <v>12.5</v>
      </c>
      <c r="D78" s="239">
        <f>D77</f>
        <v>1.2</v>
      </c>
      <c r="E78" s="239">
        <f>E77</f>
        <v>1.3</v>
      </c>
      <c r="F78" s="239">
        <f>F77</f>
        <v>0.9</v>
      </c>
      <c r="G78" s="239">
        <f>G77</f>
        <v>1.6</v>
      </c>
      <c r="H78" s="239">
        <f>H77</f>
        <v>1</v>
      </c>
      <c r="I78" s="239">
        <f>I77</f>
        <v>1</v>
      </c>
      <c r="J78" s="239">
        <f>J77</f>
        <v>1</v>
      </c>
      <c r="K78" s="233">
        <f>C78*D78*E78*F78*G78*H78*I78*J78</f>
        <v>28.080000000000002</v>
      </c>
      <c r="L78" s="22">
        <f>K78*0.7</f>
        <v>19.656000000000002</v>
      </c>
      <c r="O78" t="s">
        <v>883</v>
      </c>
      <c r="P78" t="s">
        <v>872</v>
      </c>
      <c r="Q78" t="s">
        <v>802</v>
      </c>
      <c r="R78" t="s">
        <v>884</v>
      </c>
      <c r="S78" t="s">
        <v>885</v>
      </c>
      <c r="AD78">
        <v>40</v>
      </c>
      <c r="AE78" s="22">
        <f>R61</f>
        <v>7.8</v>
      </c>
      <c r="AF78" s="22">
        <f>AE78-AE68</f>
        <v>1.2999999999999998</v>
      </c>
      <c r="AG78" s="22">
        <f>AF78/10</f>
        <v>0.12999999999999998</v>
      </c>
      <c r="AH78" s="22">
        <f>AH77+$AG$78</f>
        <v>7.8000000000000025</v>
      </c>
      <c r="AJ78">
        <v>40</v>
      </c>
      <c r="AK78" s="22">
        <f>AK77+$AG$78</f>
        <v>7.8000000000000025</v>
      </c>
    </row>
    <row r="79" spans="2:37" ht="12.75">
      <c r="B79" s="100">
        <v>50</v>
      </c>
      <c r="C79" s="100">
        <v>15.5</v>
      </c>
      <c r="D79" s="239">
        <f>D78</f>
        <v>1.2</v>
      </c>
      <c r="E79" s="239">
        <f>E78</f>
        <v>1.3</v>
      </c>
      <c r="F79" s="239">
        <f>F78</f>
        <v>0.9</v>
      </c>
      <c r="G79" s="239">
        <f>G78</f>
        <v>1.6</v>
      </c>
      <c r="H79" s="239">
        <f>H78</f>
        <v>1</v>
      </c>
      <c r="I79" s="239">
        <f>I78</f>
        <v>1</v>
      </c>
      <c r="J79" s="239">
        <f>J78</f>
        <v>1</v>
      </c>
      <c r="K79" s="233">
        <f>C79*D79*E79*F79*G79*H79*I79*J79</f>
        <v>34.8192</v>
      </c>
      <c r="L79" s="22">
        <f>K79*0.7</f>
        <v>24.373440000000002</v>
      </c>
      <c r="O79" t="s">
        <v>886</v>
      </c>
      <c r="P79" t="s">
        <v>887</v>
      </c>
      <c r="Q79" t="s">
        <v>802</v>
      </c>
      <c r="R79" t="s">
        <v>888</v>
      </c>
      <c r="S79" t="s">
        <v>889</v>
      </c>
      <c r="AD79">
        <v>41</v>
      </c>
      <c r="AH79" s="22">
        <f>AH78+$AG$88</f>
        <v>8.000000000000002</v>
      </c>
      <c r="AJ79">
        <v>41</v>
      </c>
      <c r="AK79" s="22">
        <f>AK78+$AG$88</f>
        <v>8.000000000000002</v>
      </c>
    </row>
    <row r="80" spans="2:37" ht="12.75">
      <c r="B80" s="100">
        <v>60</v>
      </c>
      <c r="C80" s="100">
        <v>18.5</v>
      </c>
      <c r="D80" s="239">
        <f>D79</f>
        <v>1.2</v>
      </c>
      <c r="E80" s="239">
        <f>E79</f>
        <v>1.3</v>
      </c>
      <c r="F80" s="239">
        <f>F79</f>
        <v>0.9</v>
      </c>
      <c r="G80" s="239">
        <f>G79</f>
        <v>1.6</v>
      </c>
      <c r="H80" s="239">
        <f>H79</f>
        <v>1</v>
      </c>
      <c r="I80" s="239">
        <f>I79</f>
        <v>1</v>
      </c>
      <c r="J80" s="239">
        <f>J79</f>
        <v>1</v>
      </c>
      <c r="K80" s="233">
        <f>C80*D80*E80*F80*G80*H80*I80*J80</f>
        <v>41.558400000000006</v>
      </c>
      <c r="L80" s="22">
        <f>K80*0.7</f>
        <v>29.090880000000006</v>
      </c>
      <c r="O80" t="s">
        <v>890</v>
      </c>
      <c r="P80" t="s">
        <v>872</v>
      </c>
      <c r="Q80" t="s">
        <v>802</v>
      </c>
      <c r="R80" t="s">
        <v>884</v>
      </c>
      <c r="S80" t="s">
        <v>891</v>
      </c>
      <c r="AD80">
        <v>42</v>
      </c>
      <c r="AH80" s="22">
        <f>AH79+$AG$88</f>
        <v>8.200000000000001</v>
      </c>
      <c r="AJ80">
        <v>42</v>
      </c>
      <c r="AK80" s="22">
        <f>AK79+$AG$88</f>
        <v>8.200000000000001</v>
      </c>
    </row>
    <row r="81" spans="2:37" ht="12.75">
      <c r="B81" s="98" t="s">
        <v>892</v>
      </c>
      <c r="C81" s="98"/>
      <c r="D81" s="98"/>
      <c r="E81" s="98"/>
      <c r="F81" s="98"/>
      <c r="G81" s="98"/>
      <c r="H81" s="98"/>
      <c r="I81" s="98"/>
      <c r="J81" s="98"/>
      <c r="K81" s="98"/>
      <c r="O81" s="71" t="s">
        <v>893</v>
      </c>
      <c r="P81" t="s">
        <v>887</v>
      </c>
      <c r="Q81" s="71" t="s">
        <v>802</v>
      </c>
      <c r="R81" s="71" t="s">
        <v>888</v>
      </c>
      <c r="S81" s="71" t="s">
        <v>878</v>
      </c>
      <c r="AD81">
        <v>43</v>
      </c>
      <c r="AH81" s="22">
        <f>AH80+$AG$88</f>
        <v>8.4</v>
      </c>
      <c r="AJ81">
        <v>43</v>
      </c>
      <c r="AK81" s="22">
        <f>AK80+$AG$88</f>
        <v>8.4</v>
      </c>
    </row>
    <row r="82" spans="2:37" ht="12.75">
      <c r="B82" s="100">
        <v>10</v>
      </c>
      <c r="C82" s="239">
        <v>2</v>
      </c>
      <c r="D82" s="239">
        <v>1.2</v>
      </c>
      <c r="E82" s="100">
        <v>1.3</v>
      </c>
      <c r="F82" s="240">
        <v>0.9</v>
      </c>
      <c r="G82" s="240">
        <v>1.45</v>
      </c>
      <c r="H82" s="241">
        <v>1</v>
      </c>
      <c r="I82" s="239">
        <v>1</v>
      </c>
      <c r="J82" s="239">
        <v>1</v>
      </c>
      <c r="K82" s="233">
        <f>C82*D82*E82*F82*G82*H82*I82*J82</f>
        <v>4.0716</v>
      </c>
      <c r="O82" t="s">
        <v>894</v>
      </c>
      <c r="P82" t="s">
        <v>872</v>
      </c>
      <c r="Q82" t="s">
        <v>802</v>
      </c>
      <c r="R82" t="s">
        <v>884</v>
      </c>
      <c r="S82" t="s">
        <v>895</v>
      </c>
      <c r="AD82">
        <v>44</v>
      </c>
      <c r="AH82" s="22">
        <f>AH81+$AG$88</f>
        <v>8.6</v>
      </c>
      <c r="AJ82">
        <v>44</v>
      </c>
      <c r="AK82" s="22">
        <f>AK81+$AG$88</f>
        <v>8.6</v>
      </c>
    </row>
    <row r="83" spans="2:37" ht="12.75">
      <c r="B83" s="100">
        <v>20</v>
      </c>
      <c r="C83" s="239">
        <v>4</v>
      </c>
      <c r="D83" s="239">
        <f>D82</f>
        <v>1.2</v>
      </c>
      <c r="E83" s="239">
        <f>E82</f>
        <v>1.3</v>
      </c>
      <c r="F83" s="239">
        <f>F82</f>
        <v>0.9</v>
      </c>
      <c r="G83" s="239">
        <f>G82</f>
        <v>1.45</v>
      </c>
      <c r="H83" s="239">
        <f>H82</f>
        <v>1</v>
      </c>
      <c r="I83" s="239">
        <f>I82</f>
        <v>1</v>
      </c>
      <c r="J83" s="239">
        <f>J82</f>
        <v>1</v>
      </c>
      <c r="K83" s="233">
        <f>C83*D83*E83*F83*G83*H83*I83*J83</f>
        <v>8.1432</v>
      </c>
      <c r="O83" t="s">
        <v>896</v>
      </c>
      <c r="P83" t="s">
        <v>897</v>
      </c>
      <c r="Q83" t="s">
        <v>802</v>
      </c>
      <c r="R83" t="s">
        <v>898</v>
      </c>
      <c r="S83" t="s">
        <v>899</v>
      </c>
      <c r="AD83">
        <v>45</v>
      </c>
      <c r="AH83" s="22">
        <f>AH82+$AG$88</f>
        <v>8.799999999999999</v>
      </c>
      <c r="AJ83">
        <v>45</v>
      </c>
      <c r="AK83" s="22">
        <f>AK82+$AG$88</f>
        <v>8.799999999999999</v>
      </c>
    </row>
    <row r="84" spans="2:37" ht="12.75">
      <c r="B84" s="100">
        <v>30</v>
      </c>
      <c r="C84" s="239">
        <v>5.5</v>
      </c>
      <c r="D84" s="239">
        <f>D83</f>
        <v>1.2</v>
      </c>
      <c r="E84" s="239">
        <f>E83</f>
        <v>1.3</v>
      </c>
      <c r="F84" s="239">
        <f>F83</f>
        <v>0.9</v>
      </c>
      <c r="G84" s="239">
        <f>G83</f>
        <v>1.45</v>
      </c>
      <c r="H84" s="239">
        <f>H83</f>
        <v>1</v>
      </c>
      <c r="I84" s="239">
        <f>I83</f>
        <v>1</v>
      </c>
      <c r="J84" s="239">
        <f>J83</f>
        <v>1</v>
      </c>
      <c r="K84" s="233">
        <f>C84*D84*E84*F84*G84*H84*I84*J84</f>
        <v>11.1969</v>
      </c>
      <c r="M84" s="22">
        <f>K85-K84</f>
        <v>4.071600000000002</v>
      </c>
      <c r="O84" t="s">
        <v>900</v>
      </c>
      <c r="P84" t="s">
        <v>872</v>
      </c>
      <c r="Q84" t="s">
        <v>802</v>
      </c>
      <c r="R84" t="s">
        <v>884</v>
      </c>
      <c r="S84" t="s">
        <v>901</v>
      </c>
      <c r="AD84">
        <v>46</v>
      </c>
      <c r="AH84" s="22">
        <f>AH83+$AG$88</f>
        <v>8.999999999999998</v>
      </c>
      <c r="AJ84">
        <v>46</v>
      </c>
      <c r="AK84" s="22">
        <f>AK83+$AG$88</f>
        <v>8.999999999999998</v>
      </c>
    </row>
    <row r="85" spans="2:37" ht="12.75">
      <c r="B85" s="100">
        <v>40</v>
      </c>
      <c r="C85" s="100">
        <v>7.5</v>
      </c>
      <c r="D85" s="239">
        <f>D84</f>
        <v>1.2</v>
      </c>
      <c r="E85" s="239">
        <f>E84</f>
        <v>1.3</v>
      </c>
      <c r="F85" s="239">
        <f>F84</f>
        <v>0.9</v>
      </c>
      <c r="G85" s="239">
        <f>G84</f>
        <v>1.45</v>
      </c>
      <c r="H85" s="239">
        <f>H84</f>
        <v>1</v>
      </c>
      <c r="I85" s="239">
        <f>I84</f>
        <v>1</v>
      </c>
      <c r="J85" s="239">
        <f>J84</f>
        <v>1</v>
      </c>
      <c r="K85" s="233">
        <f>C85*D85*E85*F85*G85*H85*I85*J85</f>
        <v>15.268500000000001</v>
      </c>
      <c r="M85" s="22">
        <f>M84/10</f>
        <v>0.4071600000000002</v>
      </c>
      <c r="O85" t="s">
        <v>902</v>
      </c>
      <c r="P85" t="s">
        <v>897</v>
      </c>
      <c r="Q85" t="s">
        <v>802</v>
      </c>
      <c r="R85" t="s">
        <v>898</v>
      </c>
      <c r="S85" t="s">
        <v>903</v>
      </c>
      <c r="AD85">
        <v>47</v>
      </c>
      <c r="AH85" s="22">
        <f>AH84+$AG$88</f>
        <v>9.199999999999998</v>
      </c>
      <c r="AJ85">
        <v>47</v>
      </c>
      <c r="AK85" s="22">
        <f>AK84+$AG$88</f>
        <v>9.199999999999998</v>
      </c>
    </row>
    <row r="86" spans="2:37" ht="12.75">
      <c r="B86" s="100">
        <v>50</v>
      </c>
      <c r="C86" s="100">
        <v>9</v>
      </c>
      <c r="D86" s="239">
        <f>D85</f>
        <v>1.2</v>
      </c>
      <c r="E86" s="239">
        <f>E85</f>
        <v>1.3</v>
      </c>
      <c r="F86" s="239">
        <f>F85</f>
        <v>0.9</v>
      </c>
      <c r="G86" s="239">
        <f>G85</f>
        <v>1.45</v>
      </c>
      <c r="H86" s="239">
        <f>H85</f>
        <v>1</v>
      </c>
      <c r="I86" s="239">
        <f>I85</f>
        <v>1</v>
      </c>
      <c r="J86" s="239">
        <f>J85</f>
        <v>1</v>
      </c>
      <c r="K86" s="233">
        <f>C86*D86*E86*F86*G86*H86*I86*J86</f>
        <v>18.3222</v>
      </c>
      <c r="M86" s="22">
        <f>M85*6.1</f>
        <v>2.483676000000001</v>
      </c>
      <c r="O86" t="s">
        <v>904</v>
      </c>
      <c r="P86" t="s">
        <v>905</v>
      </c>
      <c r="Q86" t="s">
        <v>794</v>
      </c>
      <c r="R86" t="s">
        <v>906</v>
      </c>
      <c r="S86" t="s">
        <v>906</v>
      </c>
      <c r="AD86">
        <v>48</v>
      </c>
      <c r="AH86" s="22">
        <f>AH85+$AG$88</f>
        <v>9.399999999999997</v>
      </c>
      <c r="AJ86">
        <v>48</v>
      </c>
      <c r="AK86" s="22">
        <f>AK85+$AG$88</f>
        <v>9.399999999999997</v>
      </c>
    </row>
    <row r="87" spans="2:37" ht="12.75">
      <c r="B87" s="100">
        <v>60</v>
      </c>
      <c r="C87" s="239">
        <v>10.5</v>
      </c>
      <c r="D87" s="239">
        <f>D86</f>
        <v>1.2</v>
      </c>
      <c r="E87" s="239">
        <f>E86</f>
        <v>1.3</v>
      </c>
      <c r="F87" s="239">
        <f>F86</f>
        <v>0.9</v>
      </c>
      <c r="G87" s="239">
        <f>G86</f>
        <v>1.45</v>
      </c>
      <c r="H87" s="239">
        <f>H86</f>
        <v>1</v>
      </c>
      <c r="I87" s="239">
        <f>I86</f>
        <v>1</v>
      </c>
      <c r="J87" s="239">
        <f>J86</f>
        <v>1</v>
      </c>
      <c r="K87" s="233">
        <f>C87*D87*E87*F87*G87*H87*I87*J87</f>
        <v>21.375899999999998</v>
      </c>
      <c r="M87" s="22">
        <f>M86+19.3</f>
        <v>21.783676</v>
      </c>
      <c r="O87" t="s">
        <v>907</v>
      </c>
      <c r="P87" t="s">
        <v>908</v>
      </c>
      <c r="Q87" t="s">
        <v>794</v>
      </c>
      <c r="R87" t="s">
        <v>909</v>
      </c>
      <c r="S87" t="s">
        <v>905</v>
      </c>
      <c r="AD87">
        <v>49</v>
      </c>
      <c r="AH87" s="22">
        <f>AH86+$AG$88</f>
        <v>9.599999999999996</v>
      </c>
      <c r="AJ87">
        <v>49</v>
      </c>
      <c r="AK87" s="22">
        <f>AK86+$AG$88</f>
        <v>9.599999999999996</v>
      </c>
    </row>
    <row r="88" spans="2:37" ht="12.75">
      <c r="B88" s="98" t="s">
        <v>795</v>
      </c>
      <c r="C88" s="98"/>
      <c r="D88" s="98"/>
      <c r="E88" s="98"/>
      <c r="F88" s="98"/>
      <c r="G88" s="98"/>
      <c r="H88" s="98"/>
      <c r="I88" s="98"/>
      <c r="J88" s="98"/>
      <c r="K88" s="98"/>
      <c r="O88" t="s">
        <v>910</v>
      </c>
      <c r="P88" t="s">
        <v>905</v>
      </c>
      <c r="Q88" t="s">
        <v>794</v>
      </c>
      <c r="R88" t="s">
        <v>911</v>
      </c>
      <c r="S88" t="s">
        <v>912</v>
      </c>
      <c r="AD88">
        <v>50</v>
      </c>
      <c r="AE88" s="22">
        <f>S61</f>
        <v>9.8</v>
      </c>
      <c r="AF88" s="22">
        <f>AE88-AE78</f>
        <v>2.000000000000001</v>
      </c>
      <c r="AG88" s="22">
        <f>AF88/10</f>
        <v>0.2000000000000001</v>
      </c>
      <c r="AH88" s="22">
        <f>AH87+$AG$88</f>
        <v>9.799999999999995</v>
      </c>
      <c r="AJ88">
        <v>50</v>
      </c>
      <c r="AK88" s="22">
        <f>AK87+$AG$88</f>
        <v>9.799999999999995</v>
      </c>
    </row>
    <row r="89" spans="2:37" ht="12.75">
      <c r="B89" s="100">
        <v>10</v>
      </c>
      <c r="C89" s="239">
        <v>2</v>
      </c>
      <c r="D89" s="239">
        <v>1.2</v>
      </c>
      <c r="E89" s="100">
        <v>1.3</v>
      </c>
      <c r="F89" s="240">
        <v>0.9</v>
      </c>
      <c r="G89" s="240">
        <v>1.45</v>
      </c>
      <c r="H89" s="241">
        <v>1</v>
      </c>
      <c r="I89" s="239">
        <v>1</v>
      </c>
      <c r="J89" s="239">
        <v>1</v>
      </c>
      <c r="K89" s="233">
        <f>C89*D89*E89*F89*G89*H89*I89*J89</f>
        <v>4.0716</v>
      </c>
      <c r="O89" t="s">
        <v>913</v>
      </c>
      <c r="P89" t="s">
        <v>908</v>
      </c>
      <c r="Q89" t="s">
        <v>794</v>
      </c>
      <c r="R89" t="s">
        <v>909</v>
      </c>
      <c r="S89" t="s">
        <v>905</v>
      </c>
      <c r="AD89">
        <v>51</v>
      </c>
      <c r="AH89" s="22">
        <f>AH88+$AG$98</f>
        <v>9.989999999999995</v>
      </c>
      <c r="AJ89">
        <v>51</v>
      </c>
      <c r="AK89" s="22">
        <f>AK88+$AG$98</f>
        <v>9.989999999999995</v>
      </c>
    </row>
    <row r="90" spans="2:37" ht="12.75">
      <c r="B90" s="100">
        <v>20</v>
      </c>
      <c r="C90" s="239">
        <v>3.5</v>
      </c>
      <c r="D90" s="239">
        <f>D89</f>
        <v>1.2</v>
      </c>
      <c r="E90" s="239">
        <f>E89</f>
        <v>1.3</v>
      </c>
      <c r="F90" s="239">
        <f>F89</f>
        <v>0.9</v>
      </c>
      <c r="G90" s="239">
        <f>G89</f>
        <v>1.45</v>
      </c>
      <c r="H90" s="239">
        <f>H89</f>
        <v>1</v>
      </c>
      <c r="I90" s="239">
        <f>I89</f>
        <v>1</v>
      </c>
      <c r="J90" s="239">
        <f>J89</f>
        <v>1</v>
      </c>
      <c r="K90" s="233">
        <f>C90*D90*E90*F90*G90*H90*I90*J90</f>
        <v>7.125300000000001</v>
      </c>
      <c r="O90" s="68" t="s">
        <v>914</v>
      </c>
      <c r="P90" s="68" t="s">
        <v>905</v>
      </c>
      <c r="Q90" s="68" t="s">
        <v>802</v>
      </c>
      <c r="R90" s="68" t="s">
        <v>911</v>
      </c>
      <c r="S90" s="68" t="s">
        <v>915</v>
      </c>
      <c r="AD90">
        <v>52</v>
      </c>
      <c r="AH90" s="22">
        <f>AH89+$AG$98</f>
        <v>10.179999999999994</v>
      </c>
      <c r="AJ90">
        <v>52</v>
      </c>
      <c r="AK90" s="22">
        <f>AK89+$AG$98</f>
        <v>10.179999999999994</v>
      </c>
    </row>
    <row r="91" spans="2:37" ht="12.75">
      <c r="B91" s="100">
        <v>30</v>
      </c>
      <c r="C91" s="239">
        <v>5</v>
      </c>
      <c r="D91" s="239">
        <f>D90</f>
        <v>1.2</v>
      </c>
      <c r="E91" s="239">
        <f>E90</f>
        <v>1.3</v>
      </c>
      <c r="F91" s="239">
        <f>F90</f>
        <v>0.9</v>
      </c>
      <c r="G91" s="239">
        <f>G90</f>
        <v>1.45</v>
      </c>
      <c r="H91" s="239">
        <f>H90</f>
        <v>1</v>
      </c>
      <c r="I91" s="239">
        <f>I90</f>
        <v>1</v>
      </c>
      <c r="J91" s="239">
        <f>J90</f>
        <v>1</v>
      </c>
      <c r="K91" s="233">
        <f>C91*D91*E91*F91*G91*H91*I91*J91</f>
        <v>10.179</v>
      </c>
      <c r="O91" t="s">
        <v>916</v>
      </c>
      <c r="P91" t="s">
        <v>908</v>
      </c>
      <c r="Q91" t="s">
        <v>802</v>
      </c>
      <c r="R91" t="s">
        <v>909</v>
      </c>
      <c r="S91" t="s">
        <v>797</v>
      </c>
      <c r="AD91">
        <v>53</v>
      </c>
      <c r="AH91" s="22">
        <f>AH90+$AG$98</f>
        <v>10.369999999999994</v>
      </c>
      <c r="AJ91">
        <v>53</v>
      </c>
      <c r="AK91" s="22">
        <f>AK90+$AG$98</f>
        <v>10.369999999999994</v>
      </c>
    </row>
    <row r="92" spans="2:37" ht="12.75">
      <c r="B92" s="100">
        <v>40</v>
      </c>
      <c r="C92" s="100">
        <v>6</v>
      </c>
      <c r="D92" s="239">
        <f>D91</f>
        <v>1.2</v>
      </c>
      <c r="E92" s="239">
        <f>E91</f>
        <v>1.3</v>
      </c>
      <c r="F92" s="239">
        <f>F91</f>
        <v>0.9</v>
      </c>
      <c r="G92" s="239">
        <f>G91</f>
        <v>1.45</v>
      </c>
      <c r="H92" s="239">
        <f>H91</f>
        <v>1</v>
      </c>
      <c r="I92" s="239">
        <f>I91</f>
        <v>1</v>
      </c>
      <c r="J92" s="239">
        <f>J91</f>
        <v>1</v>
      </c>
      <c r="K92" s="233">
        <f>C92*D92*E92*F92*G92*H92*I92*J92</f>
        <v>12.214799999999999</v>
      </c>
      <c r="O92" t="s">
        <v>917</v>
      </c>
      <c r="P92" t="s">
        <v>905</v>
      </c>
      <c r="Q92" t="s">
        <v>802</v>
      </c>
      <c r="R92" t="s">
        <v>911</v>
      </c>
      <c r="S92" t="s">
        <v>918</v>
      </c>
      <c r="AD92">
        <v>54</v>
      </c>
      <c r="AH92" s="22">
        <f>AH91+$AG$98</f>
        <v>10.559999999999993</v>
      </c>
      <c r="AJ92">
        <v>54</v>
      </c>
      <c r="AK92" s="22">
        <f>AK91+$AG$98</f>
        <v>10.559999999999993</v>
      </c>
    </row>
    <row r="93" spans="2:37" ht="12.75">
      <c r="B93" s="100">
        <v>50</v>
      </c>
      <c r="C93" s="100">
        <v>7.5</v>
      </c>
      <c r="D93" s="239">
        <f>D92</f>
        <v>1.2</v>
      </c>
      <c r="E93" s="239">
        <f>E92</f>
        <v>1.3</v>
      </c>
      <c r="F93" s="239">
        <f>F92</f>
        <v>0.9</v>
      </c>
      <c r="G93" s="239">
        <f>G92</f>
        <v>1.45</v>
      </c>
      <c r="H93" s="239">
        <f>H92</f>
        <v>1</v>
      </c>
      <c r="I93" s="239">
        <f>I92</f>
        <v>1</v>
      </c>
      <c r="J93" s="239">
        <f>J92</f>
        <v>1</v>
      </c>
      <c r="K93" s="233">
        <f>C93*D93*E93*F93*G93*H93*I93*J93</f>
        <v>15.268500000000001</v>
      </c>
      <c r="O93" t="s">
        <v>919</v>
      </c>
      <c r="P93" t="s">
        <v>908</v>
      </c>
      <c r="Q93" t="s">
        <v>802</v>
      </c>
      <c r="R93" t="s">
        <v>909</v>
      </c>
      <c r="S93" t="s">
        <v>905</v>
      </c>
      <c r="AD93">
        <v>55</v>
      </c>
      <c r="AH93" s="22">
        <f>AH92+$AG$98</f>
        <v>10.749999999999993</v>
      </c>
      <c r="AJ93">
        <v>55</v>
      </c>
      <c r="AK93" s="22">
        <f>AK92+$AG$98</f>
        <v>10.749999999999993</v>
      </c>
    </row>
    <row r="94" spans="2:37" ht="12.75">
      <c r="B94" s="100">
        <v>60</v>
      </c>
      <c r="C94" s="239">
        <v>9</v>
      </c>
      <c r="D94" s="239">
        <f>D93</f>
        <v>1.2</v>
      </c>
      <c r="E94" s="239">
        <f>E93</f>
        <v>1.3</v>
      </c>
      <c r="F94" s="239">
        <f>F93</f>
        <v>0.9</v>
      </c>
      <c r="G94" s="239">
        <f>G93</f>
        <v>1.45</v>
      </c>
      <c r="H94" s="239">
        <f>H93</f>
        <v>1</v>
      </c>
      <c r="I94" s="239">
        <f>I93</f>
        <v>1</v>
      </c>
      <c r="J94" s="239">
        <f>J93</f>
        <v>1</v>
      </c>
      <c r="K94" s="233">
        <f>C94*D94*E94*F94*G94*H94*I94*J94</f>
        <v>18.3222</v>
      </c>
      <c r="L94" s="22">
        <f>K94-K93</f>
        <v>3.0536999999999974</v>
      </c>
      <c r="M94" s="22">
        <f>L94/10</f>
        <v>0.30536999999999975</v>
      </c>
      <c r="N94" s="22">
        <f>K93+M94*2</f>
        <v>15.879240000000001</v>
      </c>
      <c r="AD94">
        <v>56</v>
      </c>
      <c r="AH94" s="22">
        <f>AH93+$AG$98</f>
        <v>10.939999999999992</v>
      </c>
      <c r="AJ94">
        <v>56</v>
      </c>
      <c r="AK94" s="22">
        <f>AK93+$AG$98</f>
        <v>10.939999999999992</v>
      </c>
    </row>
    <row r="95" spans="2:37" ht="12.75">
      <c r="B95" s="233"/>
      <c r="C95" s="233"/>
      <c r="D95" s="233"/>
      <c r="E95" s="233"/>
      <c r="F95" s="233"/>
      <c r="G95" s="233"/>
      <c r="H95" s="233"/>
      <c r="I95" s="233"/>
      <c r="J95" s="102"/>
      <c r="K95" s="102"/>
      <c r="AD95">
        <v>57</v>
      </c>
      <c r="AH95" s="22">
        <f>AH94+$AG$98</f>
        <v>11.129999999999992</v>
      </c>
      <c r="AJ95">
        <v>57</v>
      </c>
      <c r="AK95" s="22">
        <f>AK94+$AG$98</f>
        <v>11.129999999999992</v>
      </c>
    </row>
    <row r="96" spans="30:37" ht="12.75">
      <c r="AD96">
        <v>58</v>
      </c>
      <c r="AH96" s="22">
        <f>AH95+$AG$98</f>
        <v>11.319999999999991</v>
      </c>
      <c r="AJ96">
        <v>58</v>
      </c>
      <c r="AK96" s="22">
        <f>AK95+$AG$98</f>
        <v>11.319999999999991</v>
      </c>
    </row>
    <row r="97" spans="30:37" ht="12.75">
      <c r="AD97">
        <v>59</v>
      </c>
      <c r="AH97" s="22">
        <f>AH96+$AG$98</f>
        <v>11.509999999999991</v>
      </c>
      <c r="AJ97">
        <v>59</v>
      </c>
      <c r="AK97" s="22">
        <f>AK96+$AG$98</f>
        <v>11.509999999999991</v>
      </c>
    </row>
    <row r="98" spans="30:37" ht="12.75">
      <c r="AD98">
        <v>60</v>
      </c>
      <c r="AE98" s="22">
        <f>T61</f>
        <v>11.7</v>
      </c>
      <c r="AF98" s="22">
        <f>AE98-AE88</f>
        <v>1.8999999999999986</v>
      </c>
      <c r="AG98" s="22">
        <f>AF98/10</f>
        <v>0.18999999999999986</v>
      </c>
      <c r="AH98" s="22">
        <f>AH97+$AG$98</f>
        <v>11.69999999999999</v>
      </c>
      <c r="AJ98">
        <v>60</v>
      </c>
      <c r="AK98" s="22">
        <f>AK97+$AG$98</f>
        <v>11.69999999999999</v>
      </c>
    </row>
    <row r="124" spans="2:7" ht="12.75">
      <c r="B124" s="160"/>
      <c r="C124" s="160"/>
      <c r="D124" s="160"/>
      <c r="E124" s="160"/>
      <c r="F124" s="160"/>
      <c r="G124" s="160"/>
    </row>
    <row r="125" spans="2:7" ht="12.75">
      <c r="B125" s="160"/>
      <c r="C125" s="160"/>
      <c r="D125" s="160"/>
      <c r="E125" s="160"/>
      <c r="F125" s="160"/>
      <c r="G125" s="160"/>
    </row>
    <row r="126" spans="2:7" ht="12.75">
      <c r="B126" s="160"/>
      <c r="C126" s="160"/>
      <c r="D126" s="160"/>
      <c r="E126" s="160"/>
      <c r="F126" s="160"/>
      <c r="G126" s="160"/>
    </row>
    <row r="127" spans="2:7" ht="12.75">
      <c r="B127" s="160"/>
      <c r="C127" s="160"/>
      <c r="D127" s="160"/>
      <c r="E127" s="160"/>
      <c r="F127" s="160"/>
      <c r="G127" s="160"/>
    </row>
    <row r="132" ht="12.75" customHeight="1"/>
    <row r="141" ht="12.75" customHeight="1"/>
  </sheetData>
  <sheetProtection selectLockedCells="1" selectUnlockedCells="1"/>
  <mergeCells count="29">
    <mergeCell ref="B3:G3"/>
    <mergeCell ref="B4:G4"/>
    <mergeCell ref="B9:F9"/>
    <mergeCell ref="B10:G10"/>
    <mergeCell ref="B16:F16"/>
    <mergeCell ref="B17:G17"/>
    <mergeCell ref="J25:O25"/>
    <mergeCell ref="R25:V25"/>
    <mergeCell ref="B27:F27"/>
    <mergeCell ref="B28:G28"/>
    <mergeCell ref="J33:O33"/>
    <mergeCell ref="B34:F34"/>
    <mergeCell ref="R40:V40"/>
    <mergeCell ref="B45:I45"/>
    <mergeCell ref="O46:AA46"/>
    <mergeCell ref="O47:T48"/>
    <mergeCell ref="V47:AA48"/>
    <mergeCell ref="O49:T49"/>
    <mergeCell ref="V49:AA49"/>
    <mergeCell ref="O55:AA55"/>
    <mergeCell ref="O56:T57"/>
    <mergeCell ref="V56:AA57"/>
    <mergeCell ref="O58:T58"/>
    <mergeCell ref="V58:AA58"/>
    <mergeCell ref="B70:K70"/>
    <mergeCell ref="C71:K71"/>
    <mergeCell ref="B74:K74"/>
    <mergeCell ref="B81:K81"/>
    <mergeCell ref="B88:K88"/>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3:Q183"/>
  <sheetViews>
    <sheetView zoomScale="90" zoomScaleNormal="90" workbookViewId="0" topLeftCell="A1">
      <selection activeCell="I25" sqref="I25"/>
    </sheetView>
  </sheetViews>
  <sheetFormatPr defaultColWidth="12.57421875" defaultRowHeight="12.75"/>
  <cols>
    <col min="1" max="1" width="11.57421875" style="0" customWidth="1"/>
    <col min="2" max="2" width="17.421875" style="0" customWidth="1"/>
    <col min="3" max="3" width="28.28125" style="0" customWidth="1"/>
    <col min="4" max="4" width="18.8515625" style="0" customWidth="1"/>
    <col min="5" max="9" width="11.57421875" style="0" customWidth="1"/>
    <col min="10" max="10" width="20.140625" style="0" customWidth="1"/>
    <col min="11" max="11" width="11.57421875" style="0" customWidth="1"/>
    <col min="12" max="12" width="21.8515625" style="0" customWidth="1"/>
    <col min="13" max="16384" width="11.57421875" style="0" customWidth="1"/>
  </cols>
  <sheetData>
    <row r="3" spans="2:11" ht="12.75" customHeight="1">
      <c r="B3" s="110" t="s">
        <v>937</v>
      </c>
      <c r="C3" s="110"/>
      <c r="D3" s="110"/>
      <c r="E3" s="110"/>
      <c r="F3" s="110"/>
      <c r="G3" s="110"/>
      <c r="H3" s="110"/>
      <c r="J3" s="111" t="s">
        <v>533</v>
      </c>
      <c r="K3" s="112" t="s">
        <v>534</v>
      </c>
    </row>
    <row r="4" spans="2:11" ht="12.75" customHeight="1">
      <c r="B4" s="98" t="s">
        <v>938</v>
      </c>
      <c r="C4" s="98"/>
      <c r="D4" s="98"/>
      <c r="E4" s="98"/>
      <c r="F4" s="98"/>
      <c r="G4" s="98"/>
      <c r="H4" s="98"/>
      <c r="J4" s="42" t="str">
        <f>B4</f>
        <v>Roof Underlayment</v>
      </c>
      <c r="K4" s="56">
        <f>H13</f>
        <v>1272.2818302479998</v>
      </c>
    </row>
    <row r="5" spans="1:11" ht="12.75">
      <c r="A5" s="107"/>
      <c r="B5" s="125" t="s">
        <v>542</v>
      </c>
      <c r="C5" s="126" t="s">
        <v>542</v>
      </c>
      <c r="D5" s="2"/>
      <c r="E5" s="126" t="s">
        <v>754</v>
      </c>
      <c r="F5" s="126"/>
      <c r="G5" s="126" t="s">
        <v>639</v>
      </c>
      <c r="H5" s="127" t="s">
        <v>6</v>
      </c>
      <c r="J5" s="42" t="str">
        <f>B14</f>
        <v>Metal Roofing</v>
      </c>
      <c r="K5" s="56">
        <f>H23</f>
        <v>13955.7769944</v>
      </c>
    </row>
    <row r="6" spans="1:11" ht="12.75">
      <c r="A6" s="107"/>
      <c r="B6" s="42" t="s">
        <v>939</v>
      </c>
      <c r="C6" t="s">
        <v>756</v>
      </c>
      <c r="E6" s="72">
        <v>4567</v>
      </c>
      <c r="F6" s="72"/>
      <c r="G6" s="117">
        <f>Retail_Prices!$H$175</f>
        <v>0.18690786399999998</v>
      </c>
      <c r="H6" s="180">
        <f>E6*G6</f>
        <v>853.6082148879999</v>
      </c>
      <c r="J6" s="42"/>
      <c r="K6" s="56"/>
    </row>
    <row r="7" spans="1:11" ht="12.75">
      <c r="A7" s="107"/>
      <c r="B7" s="42" t="s">
        <v>939</v>
      </c>
      <c r="C7" t="s">
        <v>757</v>
      </c>
      <c r="E7" s="72">
        <f>30*8+278+6*36*2</f>
        <v>950</v>
      </c>
      <c r="F7" s="72"/>
      <c r="G7" s="117">
        <f>Retail_Prices!$H$175</f>
        <v>0.18690786399999998</v>
      </c>
      <c r="H7" s="180">
        <f>E7*G7</f>
        <v>177.56247079999997</v>
      </c>
      <c r="J7" s="42"/>
      <c r="K7" s="56"/>
    </row>
    <row r="8" spans="1:11" ht="12.75">
      <c r="A8" s="107"/>
      <c r="B8" s="42" t="s">
        <v>939</v>
      </c>
      <c r="C8" t="s">
        <v>758</v>
      </c>
      <c r="E8" s="72">
        <v>645</v>
      </c>
      <c r="F8" s="72"/>
      <c r="G8" s="117">
        <f>Retail_Prices!$H$175</f>
        <v>0.18690786399999998</v>
      </c>
      <c r="H8" s="180">
        <f>E8*G8</f>
        <v>120.55557227999999</v>
      </c>
      <c r="J8" s="42"/>
      <c r="K8" s="56"/>
    </row>
    <row r="9" spans="1:11" ht="12.75">
      <c r="A9" s="107"/>
      <c r="B9" s="42" t="s">
        <v>939</v>
      </c>
      <c r="C9" t="s">
        <v>759</v>
      </c>
      <c r="E9" s="72">
        <v>645</v>
      </c>
      <c r="F9" s="72"/>
      <c r="G9" s="117">
        <f>Retail_Prices!$H$175</f>
        <v>0.18690786399999998</v>
      </c>
      <c r="H9" s="180">
        <f>E9*G9</f>
        <v>120.55557227999999</v>
      </c>
      <c r="J9" s="42"/>
      <c r="K9" s="56"/>
    </row>
    <row r="10" spans="1:11" ht="12.75">
      <c r="A10" s="107"/>
      <c r="B10" s="42"/>
      <c r="E10" s="72"/>
      <c r="F10" s="72"/>
      <c r="G10" s="117"/>
      <c r="H10" s="180"/>
      <c r="J10" s="42"/>
      <c r="K10" s="113"/>
    </row>
    <row r="11" spans="1:11" ht="12.75">
      <c r="A11" s="107"/>
      <c r="B11" s="42"/>
      <c r="G11" s="12"/>
      <c r="H11" s="56"/>
      <c r="J11" s="123" t="s">
        <v>6</v>
      </c>
      <c r="K11" s="124">
        <f>SUM(K4:K10)</f>
        <v>15228.058824647998</v>
      </c>
    </row>
    <row r="12" spans="1:8" ht="12.75">
      <c r="A12" s="107"/>
      <c r="B12" s="42"/>
      <c r="G12" s="12"/>
      <c r="H12" s="56"/>
    </row>
    <row r="13" spans="1:11" ht="12.75" customHeight="1">
      <c r="A13" s="107"/>
      <c r="B13" s="197" t="s">
        <v>6</v>
      </c>
      <c r="C13" s="197"/>
      <c r="D13" s="197"/>
      <c r="E13" s="197"/>
      <c r="F13" s="197"/>
      <c r="G13" s="197"/>
      <c r="H13" s="121">
        <f>SUM(H6:H12)</f>
        <v>1272.2818302479998</v>
      </c>
      <c r="K13" s="22"/>
    </row>
    <row r="14" spans="1:11" ht="12.75" customHeight="1">
      <c r="A14" s="107"/>
      <c r="B14" s="98" t="s">
        <v>940</v>
      </c>
      <c r="C14" s="98"/>
      <c r="D14" s="98"/>
      <c r="E14" s="98"/>
      <c r="F14" s="98"/>
      <c r="G14" s="98"/>
      <c r="H14" s="98"/>
      <c r="K14" s="12"/>
    </row>
    <row r="15" spans="1:8" ht="12.75">
      <c r="A15" s="107"/>
      <c r="B15" s="125" t="s">
        <v>542</v>
      </c>
      <c r="C15" s="126" t="s">
        <v>542</v>
      </c>
      <c r="E15" s="126" t="s">
        <v>754</v>
      </c>
      <c r="F15" s="126"/>
      <c r="G15" s="126" t="s">
        <v>639</v>
      </c>
      <c r="H15" s="127" t="s">
        <v>6</v>
      </c>
    </row>
    <row r="16" spans="1:8" ht="12.75">
      <c r="A16" s="107"/>
      <c r="B16" s="42" t="s">
        <v>940</v>
      </c>
      <c r="C16" t="s">
        <v>756</v>
      </c>
      <c r="E16" s="72">
        <v>4567</v>
      </c>
      <c r="F16" s="72"/>
      <c r="G16" s="117">
        <f>Retail_Prices!$H$172</f>
        <v>1.9019</v>
      </c>
      <c r="H16" s="180">
        <f>E16*G16</f>
        <v>8685.9773</v>
      </c>
    </row>
    <row r="17" spans="1:8" ht="12.75">
      <c r="A17" s="107"/>
      <c r="B17" s="42" t="s">
        <v>940</v>
      </c>
      <c r="C17" t="s">
        <v>757</v>
      </c>
      <c r="E17" s="72">
        <f>30*8+278+6*36*2</f>
        <v>950</v>
      </c>
      <c r="F17" s="72"/>
      <c r="G17" s="117">
        <f>Retail_Prices!$H$172</f>
        <v>1.9019</v>
      </c>
      <c r="H17" s="180">
        <f>E17*G17</f>
        <v>1806.8049999999998</v>
      </c>
    </row>
    <row r="18" spans="1:8" ht="12.75">
      <c r="A18" s="107"/>
      <c r="B18" s="42" t="s">
        <v>940</v>
      </c>
      <c r="C18" t="s">
        <v>758</v>
      </c>
      <c r="E18" s="72">
        <v>645</v>
      </c>
      <c r="F18" s="72"/>
      <c r="G18" s="117">
        <f>Retail_Prices!$H$172</f>
        <v>1.9019</v>
      </c>
      <c r="H18" s="180">
        <f>E18*G18</f>
        <v>1226.7255</v>
      </c>
    </row>
    <row r="19" spans="1:8" ht="12.75">
      <c r="A19" s="107"/>
      <c r="B19" s="42" t="s">
        <v>940</v>
      </c>
      <c r="C19" t="s">
        <v>759</v>
      </c>
      <c r="E19" s="72">
        <v>645</v>
      </c>
      <c r="F19" s="72"/>
      <c r="G19" s="117">
        <f>Retail_Prices!$H$172</f>
        <v>1.9019</v>
      </c>
      <c r="H19" s="180">
        <f>E19*G19</f>
        <v>1226.7255</v>
      </c>
    </row>
    <row r="20" spans="1:8" ht="12.75">
      <c r="A20" s="107"/>
      <c r="B20" s="42" t="s">
        <v>941</v>
      </c>
      <c r="C20" t="s">
        <v>942</v>
      </c>
      <c r="E20" s="72">
        <v>3</v>
      </c>
      <c r="F20" s="72"/>
      <c r="G20" s="117">
        <v>15</v>
      </c>
      <c r="H20" s="180">
        <f>E20*G20</f>
        <v>45</v>
      </c>
    </row>
    <row r="21" spans="1:8" ht="12.75">
      <c r="A21" s="107"/>
      <c r="B21" s="220" t="s">
        <v>943</v>
      </c>
      <c r="C21" s="198"/>
      <c r="D21" s="198" t="s">
        <v>925</v>
      </c>
      <c r="E21" s="193">
        <f>(100+56+36+20+32+20+36+56)*1.5</f>
        <v>534</v>
      </c>
      <c r="F21" s="193"/>
      <c r="G21" s="138">
        <f>Retail_Prices!$H$173</f>
        <v>0.9031308000000001</v>
      </c>
      <c r="H21" s="221">
        <f>E21*G21</f>
        <v>482.2718472000001</v>
      </c>
    </row>
    <row r="22" spans="1:8" ht="12.75">
      <c r="A22" s="107"/>
      <c r="B22" s="220" t="s">
        <v>944</v>
      </c>
      <c r="C22" s="198"/>
      <c r="D22" s="198" t="s">
        <v>925</v>
      </c>
      <c r="E22" s="193">
        <f>(100+56+36+20+32+20+36+56)*1.5</f>
        <v>534</v>
      </c>
      <c r="F22" s="193"/>
      <c r="G22" s="138">
        <f>Retail_Prices!$H$173</f>
        <v>0.9031308000000001</v>
      </c>
      <c r="H22" s="221">
        <f>E22*G22</f>
        <v>482.2718472000001</v>
      </c>
    </row>
    <row r="23" spans="1:8" ht="12.75" customHeight="1">
      <c r="A23" s="107"/>
      <c r="B23" s="197" t="s">
        <v>6</v>
      </c>
      <c r="C23" s="197"/>
      <c r="D23" s="197"/>
      <c r="E23" s="197"/>
      <c r="F23" s="197"/>
      <c r="G23" s="197"/>
      <c r="H23" s="121">
        <f>SUM(H16:H22)</f>
        <v>13955.7769944</v>
      </c>
    </row>
    <row r="24" ht="12.75" customHeight="1">
      <c r="A24" s="107"/>
    </row>
    <row r="25" spans="1:9" ht="12.75" customHeight="1">
      <c r="A25" s="107"/>
      <c r="B25" s="202" t="s">
        <v>6</v>
      </c>
      <c r="C25" s="202"/>
      <c r="D25" s="202"/>
      <c r="E25" s="202"/>
      <c r="F25" s="202"/>
      <c r="G25" s="202"/>
      <c r="H25" s="203">
        <f>H13+H23</f>
        <v>15228.058824647998</v>
      </c>
      <c r="I25" s="22"/>
    </row>
    <row r="26" spans="1:9" ht="12.75">
      <c r="A26" s="107"/>
      <c r="I26" s="22"/>
    </row>
    <row r="27" spans="1:9" ht="12.75">
      <c r="A27" s="107"/>
      <c r="I27" s="22"/>
    </row>
    <row r="28" ht="12.75">
      <c r="A28" s="107"/>
    </row>
    <row r="29" ht="12.75">
      <c r="A29" s="107"/>
    </row>
    <row r="30" ht="12.75">
      <c r="A30" s="107"/>
    </row>
    <row r="31" ht="12.75">
      <c r="A31" s="107"/>
    </row>
    <row r="32" ht="12.75">
      <c r="A32" s="107"/>
    </row>
    <row r="33" ht="12.75" customHeight="1">
      <c r="A33" s="107"/>
    </row>
    <row r="34" spans="1:8" ht="12.75">
      <c r="A34" s="107"/>
      <c r="B34" s="107"/>
      <c r="C34" s="107"/>
      <c r="D34" s="107"/>
      <c r="E34" s="107"/>
      <c r="F34" s="107"/>
      <c r="G34" s="107"/>
      <c r="H34" s="107"/>
    </row>
    <row r="35" ht="12.75" customHeight="1">
      <c r="A35" s="107"/>
    </row>
    <row r="36" ht="12.75">
      <c r="A36" s="107"/>
    </row>
    <row r="37" ht="12.75">
      <c r="A37" s="107"/>
    </row>
    <row r="38" ht="12.75">
      <c r="A38" s="107"/>
    </row>
    <row r="39" ht="12.75">
      <c r="A39" s="107"/>
    </row>
    <row r="40" ht="12.75">
      <c r="A40" s="107"/>
    </row>
    <row r="41" ht="12.75">
      <c r="A41" s="107"/>
    </row>
    <row r="42" ht="12.75">
      <c r="A42" s="107"/>
    </row>
    <row r="43" ht="12.75">
      <c r="A43" s="107"/>
    </row>
    <row r="44" ht="12.75">
      <c r="A44" s="107"/>
    </row>
    <row r="54" ht="12.75" customHeight="1"/>
    <row r="57" spans="9:10" ht="12.75">
      <c r="I57" s="170"/>
      <c r="J57" s="170"/>
    </row>
    <row r="58" spans="9:10" ht="12.75">
      <c r="I58" s="170"/>
      <c r="J58" s="170"/>
    </row>
    <row r="59" spans="9:10" ht="12.75">
      <c r="I59" s="170"/>
      <c r="J59" s="170"/>
    </row>
    <row r="60" spans="9:10" ht="12.75">
      <c r="I60" s="170"/>
      <c r="J60" s="170"/>
    </row>
    <row r="61" spans="9:10" ht="12.75">
      <c r="I61" s="170"/>
      <c r="J61" s="170"/>
    </row>
    <row r="62" spans="9:10" ht="12.75">
      <c r="I62" s="170"/>
      <c r="J62" s="170"/>
    </row>
    <row r="63" spans="9:10" ht="12.75">
      <c r="I63" s="170"/>
      <c r="J63" s="170"/>
    </row>
    <row r="64" spans="9:10" ht="12.75">
      <c r="I64" s="170"/>
      <c r="J64" s="170"/>
    </row>
    <row r="65" spans="9:10" ht="12.75">
      <c r="I65" s="170"/>
      <c r="J65" s="170"/>
    </row>
    <row r="66" spans="9:10" ht="12.75">
      <c r="I66" s="170"/>
      <c r="J66" s="170"/>
    </row>
    <row r="67" spans="9:10" ht="12.75">
      <c r="I67" s="170"/>
      <c r="J67" s="170"/>
    </row>
    <row r="68" spans="9:10" ht="12.75">
      <c r="I68" s="170"/>
      <c r="J68" s="170"/>
    </row>
    <row r="69" spans="9:10" ht="12.75">
      <c r="I69" s="170"/>
      <c r="J69" s="170"/>
    </row>
    <row r="70" spans="9:10" ht="12.75">
      <c r="I70" s="170"/>
      <c r="J70" s="170"/>
    </row>
    <row r="71" spans="9:10" ht="12.75">
      <c r="I71" s="170"/>
      <c r="J71" s="170"/>
    </row>
    <row r="72" spans="9:10" ht="12.75">
      <c r="I72" s="170"/>
      <c r="J72" s="170"/>
    </row>
    <row r="73" spans="9:10" ht="12.75">
      <c r="I73" s="170"/>
      <c r="J73" s="170"/>
    </row>
    <row r="74" spans="9:10" ht="12.75">
      <c r="I74" s="170"/>
      <c r="J74" s="170"/>
    </row>
    <row r="75" spans="9:10" ht="12.75">
      <c r="I75" s="170"/>
      <c r="J75" s="170"/>
    </row>
    <row r="76" spans="9:10" ht="12.75">
      <c r="I76" s="170"/>
      <c r="J76" s="170"/>
    </row>
    <row r="77" spans="9:10" ht="12.75">
      <c r="I77" s="170"/>
      <c r="J77" s="170"/>
    </row>
    <row r="78" spans="9:10" ht="12.75">
      <c r="I78" s="170"/>
      <c r="J78" s="170"/>
    </row>
    <row r="79" spans="9:10" ht="12.75">
      <c r="I79" s="170"/>
      <c r="J79" s="170"/>
    </row>
    <row r="80" spans="9:10" ht="12.75">
      <c r="I80" s="170"/>
      <c r="J80" s="170"/>
    </row>
    <row r="81" spans="9:10" ht="12.75">
      <c r="I81" s="170"/>
      <c r="J81" s="170"/>
    </row>
    <row r="82" spans="9:10" ht="12.75">
      <c r="I82" s="170"/>
      <c r="J82" s="170"/>
    </row>
    <row r="83" spans="1:10" ht="12.75">
      <c r="A83" s="170"/>
      <c r="B83" s="188"/>
      <c r="C83" s="188"/>
      <c r="D83" s="170"/>
      <c r="E83" s="170"/>
      <c r="F83" s="170"/>
      <c r="G83" s="170"/>
      <c r="H83" s="170"/>
      <c r="I83" s="170"/>
      <c r="J83" s="170"/>
    </row>
    <row r="84" spans="1:10" ht="12.75">
      <c r="A84" s="170"/>
      <c r="B84" s="188"/>
      <c r="C84" s="188"/>
      <c r="D84" s="170"/>
      <c r="E84" s="170"/>
      <c r="F84" s="170"/>
      <c r="G84" s="170"/>
      <c r="H84" s="170"/>
      <c r="I84" s="170"/>
      <c r="J84" s="170"/>
    </row>
    <row r="85" spans="1:10" ht="12.75">
      <c r="A85" s="170"/>
      <c r="B85" s="170"/>
      <c r="C85" s="170"/>
      <c r="D85" s="170"/>
      <c r="E85" s="170"/>
      <c r="F85" s="170"/>
      <c r="G85" s="170"/>
      <c r="H85" s="170"/>
      <c r="I85" s="170"/>
      <c r="J85" s="170"/>
    </row>
    <row r="86" spans="1:10" ht="12.75">
      <c r="A86" s="170"/>
      <c r="B86" s="170"/>
      <c r="C86" s="170"/>
      <c r="D86" s="170"/>
      <c r="E86" s="170"/>
      <c r="F86" s="170"/>
      <c r="G86" s="170"/>
      <c r="H86" s="170"/>
      <c r="I86" s="170"/>
      <c r="J86" s="170"/>
    </row>
    <row r="87" spans="1:10" ht="12.75">
      <c r="A87" s="170"/>
      <c r="B87" s="170"/>
      <c r="C87" s="170"/>
      <c r="D87" s="170"/>
      <c r="E87" s="170"/>
      <c r="F87" s="170"/>
      <c r="G87" s="170"/>
      <c r="H87" s="170"/>
      <c r="I87" s="170"/>
      <c r="J87" s="170"/>
    </row>
    <row r="88" spans="1:11" ht="12.75">
      <c r="A88" s="170"/>
      <c r="B88" s="170"/>
      <c r="C88" s="170"/>
      <c r="D88" s="170"/>
      <c r="E88" s="170"/>
      <c r="F88" s="170"/>
      <c r="G88" s="170"/>
      <c r="H88" s="170"/>
      <c r="I88" s="170"/>
      <c r="J88" s="170"/>
      <c r="K88" s="22">
        <f>2/12</f>
        <v>0.16666666666666666</v>
      </c>
    </row>
    <row r="89" spans="1:10" ht="12.75">
      <c r="A89" s="170"/>
      <c r="B89" s="170"/>
      <c r="C89" s="170"/>
      <c r="D89" s="170"/>
      <c r="E89" s="170"/>
      <c r="F89" s="170"/>
      <c r="G89" s="170"/>
      <c r="H89" s="170"/>
      <c r="I89" s="170"/>
      <c r="J89" s="170"/>
    </row>
    <row r="90" spans="1:10" ht="12.75">
      <c r="A90" s="170"/>
      <c r="B90" s="170"/>
      <c r="C90" s="170"/>
      <c r="D90" s="170"/>
      <c r="E90" s="170"/>
      <c r="F90" s="170"/>
      <c r="G90" s="170"/>
      <c r="H90" s="170"/>
      <c r="I90" s="170"/>
      <c r="J90" s="170"/>
    </row>
    <row r="91" spans="1:10" ht="12.75">
      <c r="A91" s="170"/>
      <c r="B91" s="170"/>
      <c r="C91" s="170"/>
      <c r="D91" s="170"/>
      <c r="E91" s="170"/>
      <c r="F91" s="170"/>
      <c r="G91" s="170"/>
      <c r="H91" s="170"/>
      <c r="I91" s="170"/>
      <c r="J91" s="170"/>
    </row>
    <row r="92" spans="2:8" ht="12.75">
      <c r="B92" s="170"/>
      <c r="C92" s="170"/>
      <c r="D92" s="170"/>
      <c r="E92" s="170"/>
      <c r="F92" s="170"/>
      <c r="G92" s="170"/>
      <c r="H92" s="170"/>
    </row>
    <row r="93" spans="2:8" ht="12.75">
      <c r="B93" s="245"/>
      <c r="C93" s="245"/>
      <c r="D93" s="245"/>
      <c r="E93" s="245"/>
      <c r="F93" s="245"/>
      <c r="G93" s="246"/>
      <c r="H93" s="170"/>
    </row>
    <row r="94" spans="2:8" ht="12.75">
      <c r="B94" s="170"/>
      <c r="C94" s="170"/>
      <c r="D94" s="170"/>
      <c r="E94" s="170"/>
      <c r="F94" s="170"/>
      <c r="G94" s="170"/>
      <c r="H94" s="170"/>
    </row>
    <row r="95" spans="2:8" ht="12.75">
      <c r="B95" s="170"/>
      <c r="C95" s="170"/>
      <c r="D95" s="170"/>
      <c r="E95" s="170"/>
      <c r="F95" s="170"/>
      <c r="G95" s="170"/>
      <c r="H95" s="170"/>
    </row>
    <row r="100" spans="2:8" ht="12.75">
      <c r="B100" s="175" t="s">
        <v>6</v>
      </c>
      <c r="C100" s="176"/>
      <c r="D100" s="176"/>
      <c r="E100" s="176"/>
      <c r="F100" s="176"/>
      <c r="G100" s="247"/>
      <c r="H100" s="177">
        <f>Framing_Calcs!H87+Framing_Calcs!H97+H13+H23+H71+H82</f>
        <v>38650.55906177159</v>
      </c>
    </row>
    <row r="126" spans="2:17" ht="12.75">
      <c r="B126" s="110" t="s">
        <v>945</v>
      </c>
      <c r="C126" s="110"/>
      <c r="D126" s="110"/>
      <c r="E126" s="110"/>
      <c r="F126" s="110"/>
      <c r="G126" s="110"/>
      <c r="H126" s="110"/>
      <c r="J126" t="s">
        <v>946</v>
      </c>
      <c r="L126" s="52" t="s">
        <v>947</v>
      </c>
      <c r="M126" s="52"/>
      <c r="N126" s="52"/>
      <c r="O126" s="52"/>
      <c r="P126" s="52"/>
      <c r="Q126" s="52"/>
    </row>
    <row r="127" spans="2:17" ht="12.75">
      <c r="B127" s="98" t="s">
        <v>948</v>
      </c>
      <c r="C127" s="98"/>
      <c r="D127" s="98"/>
      <c r="E127" s="98"/>
      <c r="F127" s="98"/>
      <c r="G127" s="98"/>
      <c r="H127" s="98"/>
      <c r="J127" s="22">
        <f>40*44</f>
        <v>1760</v>
      </c>
      <c r="L127" s="43" t="s">
        <v>542</v>
      </c>
      <c r="M127" s="28" t="s">
        <v>949</v>
      </c>
      <c r="Q127" s="113"/>
    </row>
    <row r="128" spans="2:17" ht="12.75">
      <c r="B128" s="114" t="s">
        <v>542</v>
      </c>
      <c r="C128" s="115" t="s">
        <v>950</v>
      </c>
      <c r="D128" s="72" t="s">
        <v>686</v>
      </c>
      <c r="E128" s="115" t="s">
        <v>607</v>
      </c>
      <c r="F128" s="115"/>
      <c r="G128" s="72" t="s">
        <v>688</v>
      </c>
      <c r="H128" s="116" t="s">
        <v>6</v>
      </c>
      <c r="J128" s="22">
        <f>J127*45</f>
        <v>79200</v>
      </c>
      <c r="L128" s="58" t="s">
        <v>751</v>
      </c>
      <c r="Q128" s="113"/>
    </row>
    <row r="129" spans="2:17" ht="12.75">
      <c r="B129" s="114" t="s">
        <v>951</v>
      </c>
      <c r="C129" s="115">
        <v>36</v>
      </c>
      <c r="D129" s="72">
        <v>22</v>
      </c>
      <c r="E129" s="115">
        <v>50</v>
      </c>
      <c r="F129" s="115"/>
      <c r="G129" s="72">
        <f>22*2.45</f>
        <v>53.900000000000006</v>
      </c>
      <c r="H129" s="116">
        <f>E129*G129</f>
        <v>2695.0000000000005</v>
      </c>
      <c r="L129" s="58" t="s">
        <v>952</v>
      </c>
      <c r="M129">
        <v>2.75</v>
      </c>
      <c r="Q129" s="113"/>
    </row>
    <row r="130" spans="2:17" ht="12.75">
      <c r="B130" s="114" t="s">
        <v>951</v>
      </c>
      <c r="C130" s="115">
        <v>36</v>
      </c>
      <c r="D130" s="72">
        <v>22</v>
      </c>
      <c r="E130" s="115">
        <v>22</v>
      </c>
      <c r="F130" s="115"/>
      <c r="G130" s="72">
        <f>22*2.45</f>
        <v>53.900000000000006</v>
      </c>
      <c r="H130" s="116">
        <f>E130*G130</f>
        <v>1185.8000000000002</v>
      </c>
      <c r="L130" s="58" t="s">
        <v>953</v>
      </c>
      <c r="M130" s="22">
        <f>14*0.04</f>
        <v>0.56</v>
      </c>
      <c r="Q130" s="113"/>
    </row>
    <row r="131" spans="2:17" ht="12.75">
      <c r="B131" s="114" t="s">
        <v>954</v>
      </c>
      <c r="C131" s="115"/>
      <c r="D131" s="72">
        <f>96*2</f>
        <v>192</v>
      </c>
      <c r="E131" s="115"/>
      <c r="F131" s="115"/>
      <c r="G131" s="72"/>
      <c r="H131" s="116"/>
      <c r="L131" s="58" t="s">
        <v>955</v>
      </c>
      <c r="M131" s="22">
        <f>6.6/2</f>
        <v>3.3</v>
      </c>
      <c r="Q131" s="113"/>
    </row>
    <row r="132" spans="2:17" ht="12.75">
      <c r="B132" s="114" t="s">
        <v>956</v>
      </c>
      <c r="C132" s="115"/>
      <c r="D132" s="115">
        <f>96+4+36+4</f>
        <v>140</v>
      </c>
      <c r="E132" s="115"/>
      <c r="F132" s="115"/>
      <c r="G132" s="72"/>
      <c r="H132" s="116"/>
      <c r="J132" s="22">
        <f>J128/3/3</f>
        <v>8800</v>
      </c>
      <c r="L132" s="58" t="s">
        <v>957</v>
      </c>
      <c r="M132">
        <v>2.1</v>
      </c>
      <c r="Q132" s="113"/>
    </row>
    <row r="133" spans="2:17" ht="12.75">
      <c r="B133" s="114" t="s">
        <v>619</v>
      </c>
      <c r="C133" s="115"/>
      <c r="D133" s="115">
        <f>(96+4)*2+8</f>
        <v>208</v>
      </c>
      <c r="E133" s="115"/>
      <c r="F133" s="115"/>
      <c r="G133" s="72"/>
      <c r="H133" s="116"/>
      <c r="L133" s="58"/>
      <c r="Q133" s="113"/>
    </row>
    <row r="134" spans="2:17" ht="12.75">
      <c r="B134" s="114" t="s">
        <v>958</v>
      </c>
      <c r="C134" s="115"/>
      <c r="D134" s="72">
        <f>96+4+36+4</f>
        <v>140</v>
      </c>
      <c r="E134" s="115"/>
      <c r="F134" s="115"/>
      <c r="G134" s="72"/>
      <c r="H134" s="116"/>
      <c r="L134" s="58" t="s">
        <v>959</v>
      </c>
      <c r="Q134" s="113"/>
    </row>
    <row r="135" spans="2:17" ht="12.75">
      <c r="B135" s="114" t="s">
        <v>960</v>
      </c>
      <c r="C135" s="115"/>
      <c r="D135" s="72"/>
      <c r="E135" s="115"/>
      <c r="F135" s="115"/>
      <c r="G135" s="72"/>
      <c r="H135" s="116"/>
      <c r="L135" s="58"/>
      <c r="Q135" s="113"/>
    </row>
    <row r="136" spans="2:17" ht="12.75">
      <c r="B136" s="114" t="s">
        <v>961</v>
      </c>
      <c r="C136" s="115"/>
      <c r="D136" s="72"/>
      <c r="E136" s="115">
        <f>(96+4)/2+(36+4)/2</f>
        <v>70</v>
      </c>
      <c r="F136" s="115"/>
      <c r="G136" s="248">
        <f>Retail_Prices!$H$219</f>
        <v>1.814956</v>
      </c>
      <c r="H136" s="116"/>
      <c r="L136" s="58"/>
      <c r="Q136" s="113"/>
    </row>
    <row r="137" spans="2:17" ht="12.75">
      <c r="B137" s="114" t="s">
        <v>962</v>
      </c>
      <c r="C137" s="115"/>
      <c r="D137" s="72"/>
      <c r="E137" s="115">
        <f>((96+4)/2+(36+4)/2)*2</f>
        <v>140</v>
      </c>
      <c r="F137" s="115"/>
      <c r="G137" s="72"/>
      <c r="H137" s="116"/>
      <c r="L137" s="238"/>
      <c r="M137" s="17">
        <f>SUM(M128:M136)</f>
        <v>8.71</v>
      </c>
      <c r="N137" s="18"/>
      <c r="O137" s="18"/>
      <c r="P137" s="18"/>
      <c r="Q137" s="78"/>
    </row>
    <row r="138" spans="2:8" ht="12.75">
      <c r="B138" s="114"/>
      <c r="C138" s="115"/>
      <c r="D138" s="72"/>
      <c r="E138" s="115"/>
      <c r="F138" s="115"/>
      <c r="G138" s="72"/>
      <c r="H138" s="116"/>
    </row>
    <row r="139" spans="2:8" ht="12.75">
      <c r="B139" s="98"/>
      <c r="C139" s="98"/>
      <c r="D139" s="98"/>
      <c r="E139" s="98"/>
      <c r="F139" s="98"/>
      <c r="G139" s="98"/>
      <c r="H139" s="98"/>
    </row>
    <row r="140" spans="2:8" ht="12.75">
      <c r="B140" s="98" t="s">
        <v>963</v>
      </c>
      <c r="C140" s="98"/>
      <c r="D140" s="98"/>
      <c r="E140" s="98"/>
      <c r="F140" s="98"/>
      <c r="G140" s="98"/>
      <c r="H140" s="98"/>
    </row>
    <row r="141" spans="2:17" ht="12.75">
      <c r="B141" s="114" t="s">
        <v>542</v>
      </c>
      <c r="C141" s="115" t="s">
        <v>685</v>
      </c>
      <c r="D141" s="72" t="s">
        <v>686</v>
      </c>
      <c r="E141" s="115" t="s">
        <v>607</v>
      </c>
      <c r="F141" s="115"/>
      <c r="G141" s="72" t="s">
        <v>688</v>
      </c>
      <c r="H141" s="116" t="s">
        <v>6</v>
      </c>
      <c r="L141" s="52" t="s">
        <v>964</v>
      </c>
      <c r="M141" s="52"/>
      <c r="N141" s="52"/>
      <c r="O141" s="52"/>
      <c r="P141" s="52"/>
      <c r="Q141" s="52"/>
    </row>
    <row r="142" spans="2:17" ht="12.75">
      <c r="B142" s="114"/>
      <c r="C142" s="115"/>
      <c r="D142" s="72"/>
      <c r="E142" s="115"/>
      <c r="F142" s="115"/>
      <c r="G142" s="72"/>
      <c r="H142" s="116"/>
      <c r="L142" s="58" t="s">
        <v>965</v>
      </c>
      <c r="M142" s="45">
        <v>15</v>
      </c>
      <c r="N142" s="28"/>
      <c r="O142" s="28"/>
      <c r="P142" s="28"/>
      <c r="Q142" s="28"/>
    </row>
    <row r="143" spans="2:17" ht="12.75">
      <c r="B143" s="114"/>
      <c r="C143" s="115"/>
      <c r="D143" s="72"/>
      <c r="E143" s="115"/>
      <c r="F143" s="115"/>
      <c r="G143" s="72"/>
      <c r="H143" s="116"/>
      <c r="L143" s="58" t="s">
        <v>966</v>
      </c>
      <c r="M143">
        <v>16</v>
      </c>
      <c r="Q143" s="113"/>
    </row>
    <row r="144" spans="2:17" ht="12.75">
      <c r="B144" s="114"/>
      <c r="C144" s="115"/>
      <c r="D144" s="72"/>
      <c r="E144" s="115"/>
      <c r="F144" s="115"/>
      <c r="G144" s="72"/>
      <c r="H144" s="116"/>
      <c r="L144" s="58" t="s">
        <v>967</v>
      </c>
      <c r="M144">
        <v>30</v>
      </c>
      <c r="Q144" s="113"/>
    </row>
    <row r="145" spans="2:17" ht="12.75">
      <c r="B145" s="114"/>
      <c r="C145" s="115"/>
      <c r="D145" s="115"/>
      <c r="E145" s="115"/>
      <c r="F145" s="115"/>
      <c r="G145" s="72"/>
      <c r="H145" s="116"/>
      <c r="L145" s="58"/>
      <c r="Q145" s="113"/>
    </row>
    <row r="146" spans="2:17" ht="12.75">
      <c r="B146" s="98" t="s">
        <v>968</v>
      </c>
      <c r="C146" s="98"/>
      <c r="D146" s="98"/>
      <c r="E146" s="98"/>
      <c r="F146" s="98"/>
      <c r="G146" s="98"/>
      <c r="H146" s="98"/>
      <c r="L146" s="58"/>
      <c r="Q146" s="113"/>
    </row>
    <row r="147" spans="2:17" ht="12.75">
      <c r="B147" s="114"/>
      <c r="C147" s="115"/>
      <c r="D147" s="72"/>
      <c r="E147" s="115"/>
      <c r="F147" s="115"/>
      <c r="G147" s="72"/>
      <c r="H147" s="116"/>
      <c r="L147" s="58"/>
      <c r="Q147" s="113"/>
    </row>
    <row r="148" spans="2:17" ht="12.75">
      <c r="B148" s="114"/>
      <c r="C148" s="115"/>
      <c r="D148" s="72"/>
      <c r="E148" s="115"/>
      <c r="F148" s="115"/>
      <c r="G148" s="72"/>
      <c r="H148" s="116"/>
      <c r="L148" s="58"/>
      <c r="Q148" s="113"/>
    </row>
    <row r="149" spans="2:17" ht="12.75">
      <c r="B149" s="114"/>
      <c r="C149" s="115"/>
      <c r="D149" s="72"/>
      <c r="E149" s="115"/>
      <c r="F149" s="115"/>
      <c r="G149" s="72"/>
      <c r="H149" s="116"/>
      <c r="L149" s="58"/>
      <c r="Q149" s="113"/>
    </row>
    <row r="150" spans="2:17" ht="12.75">
      <c r="B150" s="114"/>
      <c r="C150" s="115"/>
      <c r="D150" s="72"/>
      <c r="E150" s="115"/>
      <c r="F150" s="115"/>
      <c r="G150" s="72"/>
      <c r="H150" s="116"/>
      <c r="L150" s="58"/>
      <c r="Q150" s="113"/>
    </row>
    <row r="151" spans="2:17" ht="12.75">
      <c r="B151" s="114"/>
      <c r="C151" s="115"/>
      <c r="D151" s="72"/>
      <c r="E151" s="115"/>
      <c r="F151" s="115"/>
      <c r="G151" s="72"/>
      <c r="H151" s="116"/>
      <c r="L151" s="58"/>
      <c r="Q151" s="113"/>
    </row>
    <row r="152" spans="2:17" ht="12.75">
      <c r="B152" s="114"/>
      <c r="C152" s="115"/>
      <c r="D152" s="72"/>
      <c r="E152" s="115"/>
      <c r="F152" s="115"/>
      <c r="G152" s="72"/>
      <c r="H152" s="116"/>
      <c r="L152" s="238"/>
      <c r="M152" s="18"/>
      <c r="N152" s="18"/>
      <c r="O152" s="18"/>
      <c r="P152" s="18"/>
      <c r="Q152" s="78"/>
    </row>
    <row r="153" spans="2:8" ht="12.75">
      <c r="B153" s="98"/>
      <c r="C153" s="98"/>
      <c r="D153" s="98"/>
      <c r="E153" s="98"/>
      <c r="F153" s="98"/>
      <c r="G153" s="98"/>
      <c r="H153" s="98"/>
    </row>
    <row r="154" spans="2:8" ht="12.75">
      <c r="B154" s="114"/>
      <c r="C154" s="115"/>
      <c r="D154" s="72"/>
      <c r="E154" s="115"/>
      <c r="F154" s="115"/>
      <c r="G154" s="72"/>
      <c r="H154" s="116"/>
    </row>
    <row r="155" spans="2:17" ht="12.75">
      <c r="B155" s="114"/>
      <c r="C155" s="115"/>
      <c r="D155" s="72"/>
      <c r="E155" s="115"/>
      <c r="F155" s="115"/>
      <c r="G155" s="72"/>
      <c r="H155" s="116"/>
      <c r="L155" s="52" t="s">
        <v>969</v>
      </c>
      <c r="M155" s="52"/>
      <c r="N155" s="52"/>
      <c r="O155" s="52"/>
      <c r="P155" s="52"/>
      <c r="Q155" s="52"/>
    </row>
    <row r="156" spans="2:17" ht="12.75">
      <c r="B156" s="114"/>
      <c r="C156" s="115"/>
      <c r="D156" s="72"/>
      <c r="E156" s="115"/>
      <c r="F156" s="115"/>
      <c r="G156" s="72"/>
      <c r="H156" s="116"/>
      <c r="L156" s="43" t="s">
        <v>970</v>
      </c>
      <c r="M156" s="28" t="s">
        <v>971</v>
      </c>
      <c r="N156" s="28" t="s">
        <v>972</v>
      </c>
      <c r="O156" s="28" t="s">
        <v>973</v>
      </c>
      <c r="P156" s="28"/>
      <c r="Q156" s="28"/>
    </row>
    <row r="157" spans="2:17" ht="12.75">
      <c r="B157" s="234"/>
      <c r="C157" s="115"/>
      <c r="D157" s="72"/>
      <c r="E157" s="115"/>
      <c r="F157" s="115"/>
      <c r="G157" s="72"/>
      <c r="H157" s="116"/>
      <c r="L157" s="58" t="s">
        <v>974</v>
      </c>
      <c r="M157" s="22">
        <f>18</f>
        <v>18</v>
      </c>
      <c r="N157" s="22">
        <f>(SQRT(208))/12</f>
        <v>1.2018504251546631</v>
      </c>
      <c r="O157" s="22">
        <f>M157*N157</f>
        <v>21.633307652783937</v>
      </c>
      <c r="Q157" s="113"/>
    </row>
    <row r="158" spans="2:17" ht="12.75">
      <c r="B158" s="238"/>
      <c r="C158" s="18"/>
      <c r="D158" s="18"/>
      <c r="E158" s="18"/>
      <c r="F158" s="18"/>
      <c r="G158" s="18"/>
      <c r="H158" s="78"/>
      <c r="L158" s="58" t="s">
        <v>975</v>
      </c>
      <c r="M158" s="22">
        <f>7.68*2</f>
        <v>15.36</v>
      </c>
      <c r="N158" s="22">
        <f>(SQRT(208))/12</f>
        <v>1.2018504251546631</v>
      </c>
      <c r="O158" s="22">
        <f>M158*N158</f>
        <v>18.460422530375624</v>
      </c>
      <c r="Q158" s="113"/>
    </row>
    <row r="159" spans="2:17" ht="12.75">
      <c r="B159" s="98"/>
      <c r="C159" s="98"/>
      <c r="D159" s="98"/>
      <c r="E159" s="98"/>
      <c r="F159" s="98"/>
      <c r="G159" s="98"/>
      <c r="H159" s="98"/>
      <c r="L159" t="s">
        <v>976</v>
      </c>
      <c r="Q159" s="113"/>
    </row>
    <row r="160" spans="2:17" ht="12.75">
      <c r="B160" s="125"/>
      <c r="C160" s="126"/>
      <c r="D160" s="126"/>
      <c r="E160" s="126"/>
      <c r="F160" s="126"/>
      <c r="G160" s="126"/>
      <c r="H160" s="152"/>
      <c r="L160" s="58" t="s">
        <v>977</v>
      </c>
      <c r="Q160" s="113"/>
    </row>
    <row r="161" spans="2:15" ht="12.75">
      <c r="B161" s="114"/>
      <c r="C161" s="115"/>
      <c r="D161" s="72"/>
      <c r="E161" s="115"/>
      <c r="F161" s="115"/>
      <c r="G161" s="72"/>
      <c r="H161" s="116"/>
      <c r="L161" t="s">
        <v>978</v>
      </c>
      <c r="M161">
        <v>20</v>
      </c>
      <c r="N161" s="22">
        <f>(SQRT(208))/12</f>
        <v>1.2018504251546631</v>
      </c>
      <c r="O161" s="22">
        <f>M161*N161</f>
        <v>24.03700850309326</v>
      </c>
    </row>
    <row r="162" spans="2:17" ht="12.75">
      <c r="B162" s="114"/>
      <c r="C162" s="115"/>
      <c r="D162" s="72"/>
      <c r="E162" s="115"/>
      <c r="F162" s="115"/>
      <c r="G162" s="72"/>
      <c r="H162" s="116"/>
      <c r="L162" s="58" t="s">
        <v>979</v>
      </c>
      <c r="M162" s="22">
        <f>M161*COS(45)</f>
        <v>10.506439776354595</v>
      </c>
      <c r="N162" s="22">
        <f>N161*COS(45)</f>
        <v>0.6313584556036816</v>
      </c>
      <c r="O162" s="22">
        <f>O161*COS(45)</f>
        <v>12.627169112073632</v>
      </c>
      <c r="Q162" s="113"/>
    </row>
    <row r="163" spans="2:17" ht="12.75">
      <c r="B163" s="114"/>
      <c r="C163" s="115"/>
      <c r="D163" s="115"/>
      <c r="E163" s="115"/>
      <c r="F163" s="115"/>
      <c r="G163" s="72"/>
      <c r="H163" s="116"/>
      <c r="L163" s="58" t="s">
        <v>980</v>
      </c>
      <c r="M163">
        <v>17.99</v>
      </c>
      <c r="N163" s="22">
        <f>(SQRT(208))/12</f>
        <v>1.2018504251546631</v>
      </c>
      <c r="O163" s="22">
        <f>M163*N163</f>
        <v>21.621289148532387</v>
      </c>
      <c r="Q163" s="113"/>
    </row>
    <row r="164" spans="2:17" ht="12.75">
      <c r="B164" s="114"/>
      <c r="C164" s="115"/>
      <c r="D164" s="72"/>
      <c r="E164" s="115"/>
      <c r="F164" s="115"/>
      <c r="G164" s="72"/>
      <c r="H164" s="116"/>
      <c r="L164" s="58" t="s">
        <v>981</v>
      </c>
      <c r="M164">
        <v>18.27</v>
      </c>
      <c r="N164" s="22">
        <f>(SQRT(208))/12</f>
        <v>1.2018504251546631</v>
      </c>
      <c r="O164" s="22">
        <f>M164*N164</f>
        <v>21.957807267575696</v>
      </c>
      <c r="Q164" s="113"/>
    </row>
    <row r="165" spans="2:17" ht="12.75">
      <c r="B165" s="120"/>
      <c r="C165" s="249"/>
      <c r="D165" s="249"/>
      <c r="E165" s="249"/>
      <c r="F165" s="249"/>
      <c r="G165" s="90"/>
      <c r="H165" s="250"/>
      <c r="L165" s="58" t="s">
        <v>982</v>
      </c>
      <c r="Q165" s="113"/>
    </row>
    <row r="166" spans="12:17" ht="12.75">
      <c r="L166" s="58"/>
      <c r="Q166" s="113"/>
    </row>
    <row r="167" spans="12:17" ht="12.75">
      <c r="L167" s="238"/>
      <c r="M167" s="18"/>
      <c r="N167" s="18"/>
      <c r="O167" s="18"/>
      <c r="P167" s="18"/>
      <c r="Q167" s="78"/>
    </row>
    <row r="171" spans="12:17" ht="12.75">
      <c r="L171" s="52" t="s">
        <v>983</v>
      </c>
      <c r="M171" s="52"/>
      <c r="N171" s="52"/>
      <c r="O171" s="52"/>
      <c r="P171" s="52"/>
      <c r="Q171" s="52"/>
    </row>
    <row r="172" spans="12:17" ht="12.75">
      <c r="L172" s="43" t="s">
        <v>970</v>
      </c>
      <c r="M172" s="28" t="s">
        <v>965</v>
      </c>
      <c r="N172" s="28" t="s">
        <v>966</v>
      </c>
      <c r="O172" s="28" t="s">
        <v>967</v>
      </c>
      <c r="P172" s="28"/>
      <c r="Q172" s="28"/>
    </row>
    <row r="173" spans="12:17" ht="12.75">
      <c r="L173" s="58" t="s">
        <v>974</v>
      </c>
      <c r="M173" s="22">
        <f>$M$142*O157</f>
        <v>324.4996147917591</v>
      </c>
      <c r="N173" s="22">
        <f>$M$143*M157</f>
        <v>288</v>
      </c>
      <c r="O173" s="22">
        <f>$M$144*M157</f>
        <v>540</v>
      </c>
      <c r="Q173" s="113"/>
    </row>
    <row r="174" spans="12:17" ht="12.75">
      <c r="L174" t="s">
        <v>975</v>
      </c>
      <c r="M174" s="22">
        <f>$M$142*O158</f>
        <v>276.90633795563434</v>
      </c>
      <c r="N174" s="22">
        <f>$M$143*M158</f>
        <v>245.76</v>
      </c>
      <c r="O174" s="22">
        <f>$M$144*M158</f>
        <v>460.79999999999995</v>
      </c>
      <c r="Q174" s="113"/>
    </row>
    <row r="175" spans="12:17" ht="12.75">
      <c r="L175" s="58" t="s">
        <v>976</v>
      </c>
      <c r="Q175" s="113"/>
    </row>
    <row r="176" spans="12:17" ht="12.75">
      <c r="L176" s="58" t="s">
        <v>977</v>
      </c>
      <c r="Q176" s="113"/>
    </row>
    <row r="177" spans="12:15" ht="12.75">
      <c r="L177" s="45" t="s">
        <v>978</v>
      </c>
      <c r="M177" s="22">
        <f>$M$142*O161</f>
        <v>360.5551275463989</v>
      </c>
      <c r="N177" s="22">
        <f>$M$143*M161</f>
        <v>320</v>
      </c>
      <c r="O177" s="22">
        <f>$M$144*M161</f>
        <v>600</v>
      </c>
    </row>
    <row r="178" spans="12:17" ht="12.75">
      <c r="L178" s="58" t="s">
        <v>979</v>
      </c>
      <c r="M178" s="22">
        <f>$M$142*O162</f>
        <v>189.4075366811045</v>
      </c>
      <c r="N178" s="22">
        <f>$M$143*M162</f>
        <v>168.10303642167352</v>
      </c>
      <c r="O178" s="22">
        <f>$M$144*M162</f>
        <v>315.19319329063785</v>
      </c>
      <c r="Q178" s="113"/>
    </row>
    <row r="179" spans="12:17" ht="12.75">
      <c r="L179" s="58" t="s">
        <v>980</v>
      </c>
      <c r="M179" s="22">
        <f>$M$142*O163</f>
        <v>324.3193372279858</v>
      </c>
      <c r="N179" s="22">
        <f>$M$143*M163</f>
        <v>287.84</v>
      </c>
      <c r="O179" s="22">
        <f>$M$144*M163</f>
        <v>539.6999999999999</v>
      </c>
      <c r="Q179" s="113"/>
    </row>
    <row r="180" spans="12:17" ht="12.75">
      <c r="L180" s="58" t="s">
        <v>981</v>
      </c>
      <c r="M180" s="22">
        <f>$M$142*O164</f>
        <v>329.36710901363546</v>
      </c>
      <c r="N180" s="22">
        <f>$M$143*M164</f>
        <v>292.32</v>
      </c>
      <c r="O180" s="22">
        <f>$M$144*M164</f>
        <v>548.1</v>
      </c>
      <c r="Q180" s="113"/>
    </row>
    <row r="181" spans="12:17" ht="12.75">
      <c r="L181" s="58" t="s">
        <v>982</v>
      </c>
      <c r="Q181" s="113"/>
    </row>
    <row r="182" ht="12.75">
      <c r="Q182" s="113"/>
    </row>
    <row r="183" spans="12:17" ht="12.75">
      <c r="L183" s="238"/>
      <c r="M183" s="18"/>
      <c r="N183" s="18"/>
      <c r="O183" s="18"/>
      <c r="P183" s="18"/>
      <c r="Q183" s="78"/>
    </row>
  </sheetData>
  <sheetProtection selectLockedCells="1" selectUnlockedCells="1"/>
  <mergeCells count="18">
    <mergeCell ref="B3:H3"/>
    <mergeCell ref="B4:H4"/>
    <mergeCell ref="B13:G13"/>
    <mergeCell ref="B14:H14"/>
    <mergeCell ref="B23:G23"/>
    <mergeCell ref="B25:G25"/>
    <mergeCell ref="B93:F93"/>
    <mergeCell ref="B126:H126"/>
    <mergeCell ref="L126:Q126"/>
    <mergeCell ref="B127:H127"/>
    <mergeCell ref="B139:H139"/>
    <mergeCell ref="B140:H140"/>
    <mergeCell ref="L141:Q141"/>
    <mergeCell ref="B146:H146"/>
    <mergeCell ref="B153:H153"/>
    <mergeCell ref="L155:Q155"/>
    <mergeCell ref="B159:H159"/>
    <mergeCell ref="L171:Q17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31916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dc:creator>
  <cp:keywords/>
  <dc:description/>
  <cp:lastModifiedBy/>
  <cp:lastPrinted>2018-06-28T21:37:49Z</cp:lastPrinted>
  <dcterms:created xsi:type="dcterms:W3CDTF">2016-11-02T16:39:53Z</dcterms:created>
  <dcterms:modified xsi:type="dcterms:W3CDTF">2018-10-26T03:12:11Z</dcterms:modified>
  <cp:category/>
  <cp:version/>
  <cp:contentType/>
  <cp:contentStatus/>
  <cp:revision>2066</cp:revision>
</cp:coreProperties>
</file>